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ContentType="image/png" Extension="png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Orçamento Sintético" r:id="rId4"/>
  </sheets>
  <definedNames>
    <definedName name="_xlnm.Print_Titles" localSheetId="0">'repeated header'!$4:$4</definedName>
  </definedNames>
</workbook>
</file>

<file path=xl/styles.xml><?xml version="1.0" encoding="utf-8"?>
<styleSheet xmlns="http://schemas.openxmlformats.org/spreadsheetml/2006/main">
  <numFmts count="27">
    <numFmt numFmtId="100" formatCode="yyyy/mm/dd"/>
    <numFmt numFmtId="101" formatCode="yyyy/mm/dd hh:mm:ss"/>
    <numFmt numFmtId="102" formatCode="#,##0.00"/>
    <numFmt numFmtId="103" formatCode="#,##0.00 %"/>
    <numFmt numFmtId="104" formatCode="#,##0.00"/>
    <numFmt numFmtId="105" formatCode="#,##0.00 %"/>
    <numFmt numFmtId="106" formatCode="#,##0.0000"/>
    <numFmt numFmtId="107" formatCode="#,##0.0000000"/>
    <numFmt numFmtId="108" formatCode="#,##0.00"/>
    <numFmt numFmtId="109" formatCode="#,##0.00 %"/>
    <numFmt numFmtId="110" formatCode="#,##0.0000"/>
    <numFmt numFmtId="111" formatCode="#,##0.0000000"/>
    <numFmt numFmtId="112" formatCode="#,##0.00"/>
    <numFmt numFmtId="113" formatCode="#,##0.00 %"/>
    <numFmt numFmtId="114" formatCode="#,##0.0000"/>
    <numFmt numFmtId="115" formatCode="#,##0.0000000"/>
    <numFmt numFmtId="116" formatCode="#,##0.00"/>
    <numFmt numFmtId="117" formatCode="#,##0.00 %"/>
    <numFmt numFmtId="118" formatCode="#,##0.0000"/>
    <numFmt numFmtId="119" formatCode="#,##0.0000000"/>
    <numFmt numFmtId="120" formatCode="#,##0.00"/>
    <numFmt numFmtId="121" formatCode="#,##0.0000"/>
    <numFmt numFmtId="122" formatCode="#,##0.00"/>
    <numFmt numFmtId="123" formatCode="#,##0.0000"/>
    <numFmt numFmtId="124" formatCode="#,##0.0000000"/>
    <numFmt numFmtId="125" formatCode="#,##0.00 %"/>
    <numFmt numFmtId="126" formatCode="#,##0.00"/>
  </numFmts>
  <fonts count="74">
    <font>
      <name val="Arial"/>
      <sz val="11"/>
      <family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</fonts>
  <fills count="7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</fills>
  <borders count="5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 style="thick">
        <color rgb="FF000000"/>
      </top>
    </border>
    <border>
      <top style="thick">
        <color rgb="FF000000"/>
      </top>
    </border>
    <border>
      <top style="thick">
        <color rgb="FF000000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bottom style="thick">
        <color rgb="FFFF5500"/>
      </bottom>
    </border>
    <border>
      <bottom style="thick">
        <color rgb="FF0092F6"/>
      </bottom>
    </border>
    <border>
      <bottom style="thick">
        <color rgb="FFFF5500"/>
      </bottom>
    </border>
    <border>
      <bottom style="thick">
        <color rgb="FFFF5500"/>
      </bottom>
    </border>
  </borders>
  <cellStyleXfs count="1">
    <xf borderId="0" numFmtId="0" fontId="0" fillId="0"/>
  </cellStyleXfs>
  <cellXfs count="76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0" applyFill="1" applyFont="1" applyBorder="0" applyAlignment="1" applyProtection="0">
      <alignment horizontal="left" vertical="top" wrapText="1"/>
    </xf>
    <xf borderId="0" numFmtId="0" fontId="2" fillId="3" applyNumberFormat="0" applyFill="1" applyFont="1" applyBorder="0" applyAlignment="1" applyProtection="0">
      <alignment horizontal="center" vertical="bottom" wrapText="1"/>
    </xf>
    <xf borderId="2" numFmtId="0" fontId="3" fillId="4" applyNumberFormat="0" applyFill="1" applyFont="1" applyBorder="1" applyAlignment="1" applyProtection="0">
      <alignment horizontal="left" vertical="top" wrapText="1"/>
    </xf>
    <xf borderId="3" numFmtId="0" fontId="4" fillId="5" applyNumberFormat="0" applyFill="1" applyFont="1" applyBorder="1" applyAlignment="1" applyProtection="0">
      <alignment horizontal="center" vertical="top" wrapText="1"/>
    </xf>
    <xf borderId="4" numFmtId="0" fontId="5" fillId="6" applyNumberFormat="0" applyFill="1" applyFont="1" applyBorder="1" applyAlignment="1" applyProtection="0">
      <alignment horizontal="right" vertical="top" wrapText="1"/>
    </xf>
    <xf borderId="5" numFmtId="0" fontId="6" fillId="7" applyNumberFormat="0" applyFill="1" applyFont="1" applyBorder="1" applyAlignment="1" applyProtection="0">
      <alignment horizontal="left" vertical="top" wrapText="1"/>
    </xf>
    <xf borderId="6" numFmtId="0" fontId="7" fillId="8" applyNumberFormat="0" applyFill="1" applyFont="1" applyBorder="1" applyAlignment="1" applyProtection="0">
      <alignment horizontal="center" vertical="top" wrapText="1"/>
    </xf>
    <xf borderId="7" numFmtId="0" fontId="8" fillId="9" applyNumberFormat="0" applyFill="1" applyFont="1" applyBorder="1" applyAlignment="1" applyProtection="0">
      <alignment horizontal="right" vertical="top" wrapText="1"/>
    </xf>
    <xf borderId="8" numFmtId="102" fontId="9" fillId="10" applyNumberFormat="1" applyFill="1" applyFont="1" applyBorder="1" applyAlignment="1" applyProtection="0">
      <alignment horizontal="right" vertical="top" wrapText="1"/>
    </xf>
    <xf borderId="9" numFmtId="103" fontId="10" fillId="11" applyNumberFormat="1" applyFill="1" applyFont="1" applyBorder="1" applyAlignment="1" applyProtection="0">
      <alignment horizontal="right" vertical="top" wrapText="1"/>
    </xf>
    <xf borderId="10" numFmtId="0" fontId="11" fillId="12" applyNumberFormat="0" applyFill="1" applyFont="1" applyBorder="1" applyAlignment="1" applyProtection="0">
      <alignment horizontal="left" vertical="top" wrapText="1"/>
    </xf>
    <xf borderId="11" numFmtId="0" fontId="12" fillId="13" applyNumberFormat="0" applyFill="1" applyFont="1" applyBorder="1" applyAlignment="1" applyProtection="0">
      <alignment horizontal="center" vertical="top" wrapText="1"/>
    </xf>
    <xf borderId="12" numFmtId="0" fontId="13" fillId="14" applyNumberFormat="0" applyFill="1" applyFont="1" applyBorder="1" applyAlignment="1" applyProtection="0">
      <alignment horizontal="right" vertical="top" wrapText="1"/>
    </xf>
    <xf borderId="13" numFmtId="0" fontId="14" fillId="15" applyNumberFormat="0" applyFill="1" applyFont="1" applyBorder="1" applyAlignment="1" applyProtection="0">
      <alignment horizontal="left" vertical="top" wrapText="1"/>
    </xf>
    <xf borderId="14" numFmtId="0" fontId="15" fillId="16" applyNumberFormat="0" applyFill="1" applyFont="1" applyBorder="1" applyAlignment="1" applyProtection="0">
      <alignment horizontal="center" vertical="top" wrapText="1"/>
    </xf>
    <xf borderId="15" numFmtId="0" fontId="16" fillId="17" applyNumberFormat="0" applyFill="1" applyFont="1" applyBorder="1" applyAlignment="1" applyProtection="0">
      <alignment horizontal="right" vertical="top" wrapText="1"/>
    </xf>
    <xf borderId="16" numFmtId="104" fontId="17" fillId="18" applyNumberFormat="1" applyFill="1" applyFont="1" applyBorder="1" applyAlignment="1" applyProtection="0">
      <alignment horizontal="right" vertical="top" wrapText="1"/>
    </xf>
    <xf borderId="17" numFmtId="105" fontId="18" fillId="19" applyNumberFormat="1" applyFill="1" applyFont="1" applyBorder="1" applyAlignment="1" applyProtection="0">
      <alignment horizontal="right" vertical="top" wrapText="1"/>
    </xf>
    <xf borderId="18" numFmtId="106" fontId="19" fillId="20" applyNumberFormat="1" applyFill="1" applyFont="1" applyBorder="1" applyAlignment="1" applyProtection="0">
      <alignment horizontal="right" vertical="top" wrapText="1"/>
    </xf>
    <xf borderId="19" numFmtId="107" fontId="20" fillId="21" applyNumberFormat="1" applyFill="1" applyFont="1" applyBorder="1" applyAlignment="1" applyProtection="0">
      <alignment horizontal="right" vertical="top" wrapText="1"/>
    </xf>
    <xf borderId="20" numFmtId="0" fontId="21" fillId="22" applyNumberFormat="0" applyFill="1" applyFont="1" applyBorder="1" applyAlignment="1" applyProtection="0">
      <alignment horizontal="right" vertical="top" wrapText="1"/>
    </xf>
    <xf borderId="21" numFmtId="0" fontId="22" fillId="23" applyNumberFormat="0" applyFill="1" applyFont="1" applyBorder="1" applyAlignment="1" applyProtection="0">
      <alignment horizontal="left" vertical="top" wrapText="1"/>
    </xf>
    <xf borderId="22" numFmtId="0" fontId="23" fillId="24" applyNumberFormat="0" applyFill="1" applyFont="1" applyBorder="1" applyAlignment="1" applyProtection="0">
      <alignment horizontal="center" vertical="top" wrapText="1"/>
    </xf>
    <xf borderId="23" numFmtId="0" fontId="24" fillId="25" applyNumberFormat="0" applyFill="1" applyFont="1" applyBorder="1" applyAlignment="1" applyProtection="0">
      <alignment horizontal="right" vertical="top" wrapText="1"/>
    </xf>
    <xf borderId="24" numFmtId="0" fontId="25" fillId="26" applyNumberFormat="0" applyFill="1" applyFont="1" applyBorder="1" applyAlignment="1" applyProtection="0">
      <alignment horizontal="left" vertical="top" wrapText="1"/>
    </xf>
    <xf borderId="25" numFmtId="0" fontId="26" fillId="27" applyNumberFormat="0" applyFill="1" applyFont="1" applyBorder="1" applyAlignment="1" applyProtection="0">
      <alignment horizontal="center" vertical="top" wrapText="1"/>
    </xf>
    <xf borderId="26" numFmtId="0" fontId="27" fillId="28" applyNumberFormat="0" applyFill="1" applyFont="1" applyBorder="1" applyAlignment="1" applyProtection="0">
      <alignment horizontal="right" vertical="top" wrapText="1"/>
    </xf>
    <xf borderId="27" numFmtId="0" fontId="28" fillId="29" applyNumberFormat="0" applyFill="1" applyFont="1" applyBorder="1" applyAlignment="1" applyProtection="0">
      <alignment horizontal="left" vertical="top" wrapText="1"/>
    </xf>
    <xf borderId="28" numFmtId="0" fontId="29" fillId="30" applyNumberFormat="0" applyFill="1" applyFont="1" applyBorder="1" applyAlignment="1" applyProtection="0">
      <alignment horizontal="center" vertical="top" wrapText="1"/>
    </xf>
    <xf borderId="29" numFmtId="0" fontId="30" fillId="31" applyNumberFormat="0" applyFill="1" applyFont="1" applyBorder="1" applyAlignment="1" applyProtection="0">
      <alignment horizontal="right" vertical="top" wrapText="1"/>
    </xf>
    <xf borderId="30" numFmtId="108" fontId="31" fillId="32" applyNumberFormat="1" applyFill="1" applyFont="1" applyBorder="1" applyAlignment="1" applyProtection="0">
      <alignment horizontal="right" vertical="top" wrapText="1"/>
    </xf>
    <xf borderId="31" numFmtId="109" fontId="32" fillId="33" applyNumberFormat="1" applyFill="1" applyFont="1" applyBorder="1" applyAlignment="1" applyProtection="0">
      <alignment horizontal="right" vertical="top" wrapText="1"/>
    </xf>
    <xf borderId="32" numFmtId="110" fontId="33" fillId="34" applyNumberFormat="1" applyFill="1" applyFont="1" applyBorder="1" applyAlignment="1" applyProtection="0">
      <alignment horizontal="right" vertical="top" wrapText="1"/>
    </xf>
    <xf borderId="33" numFmtId="111" fontId="34" fillId="35" applyNumberFormat="1" applyFill="1" applyFont="1" applyBorder="1" applyAlignment="1" applyProtection="0">
      <alignment horizontal="right" vertical="top" wrapText="1"/>
    </xf>
    <xf borderId="34" numFmtId="0" fontId="35" fillId="36" applyNumberFormat="0" applyFill="1" applyFont="1" applyBorder="1" applyAlignment="1" applyProtection="0">
      <alignment horizontal="left" vertical="top" wrapText="1"/>
    </xf>
    <xf borderId="35" numFmtId="0" fontId="36" fillId="37" applyNumberFormat="0" applyFill="1" applyFont="1" applyBorder="1" applyAlignment="1" applyProtection="0">
      <alignment horizontal="center" vertical="top" wrapText="1"/>
    </xf>
    <xf borderId="36" numFmtId="0" fontId="37" fillId="38" applyNumberFormat="0" applyFill="1" applyFont="1" applyBorder="1" applyAlignment="1" applyProtection="0">
      <alignment horizontal="right" vertical="top" wrapText="1"/>
    </xf>
    <xf borderId="37" numFmtId="112" fontId="38" fillId="39" applyNumberFormat="1" applyFill="1" applyFont="1" applyBorder="1" applyAlignment="1" applyProtection="0">
      <alignment horizontal="right" vertical="top" wrapText="1"/>
    </xf>
    <xf borderId="38" numFmtId="113" fontId="39" fillId="40" applyNumberFormat="1" applyFill="1" applyFont="1" applyBorder="1" applyAlignment="1" applyProtection="0">
      <alignment horizontal="right" vertical="top" wrapText="1"/>
    </xf>
    <xf borderId="39" numFmtId="114" fontId="40" fillId="41" applyNumberFormat="1" applyFill="1" applyFont="1" applyBorder="1" applyAlignment="1" applyProtection="0">
      <alignment horizontal="right" vertical="top" wrapText="1"/>
    </xf>
    <xf borderId="40" numFmtId="115" fontId="41" fillId="42" applyNumberFormat="1" applyFill="1" applyFont="1" applyBorder="1" applyAlignment="1" applyProtection="0">
      <alignment horizontal="right" vertical="top" wrapText="1"/>
    </xf>
    <xf borderId="41" numFmtId="0" fontId="42" fillId="43" applyNumberFormat="0" applyFill="1" applyFont="1" applyBorder="1" applyAlignment="1" applyProtection="0">
      <alignment horizontal="left" vertical="top" wrapText="1"/>
    </xf>
    <xf borderId="42" numFmtId="0" fontId="43" fillId="44" applyNumberFormat="0" applyFill="1" applyFont="1" applyBorder="1" applyAlignment="1" applyProtection="0">
      <alignment horizontal="center" vertical="top" wrapText="1"/>
    </xf>
    <xf borderId="43" numFmtId="0" fontId="44" fillId="45" applyNumberFormat="0" applyFill="1" applyFont="1" applyBorder="1" applyAlignment="1" applyProtection="0">
      <alignment horizontal="right" vertical="top" wrapText="1"/>
    </xf>
    <xf borderId="44" numFmtId="116" fontId="45" fillId="46" applyNumberFormat="1" applyFill="1" applyFont="1" applyBorder="1" applyAlignment="1" applyProtection="0">
      <alignment horizontal="right" vertical="top" wrapText="1"/>
    </xf>
    <xf borderId="45" numFmtId="117" fontId="46" fillId="47" applyNumberFormat="1" applyFill="1" applyFont="1" applyBorder="1" applyAlignment="1" applyProtection="0">
      <alignment horizontal="right" vertical="top" wrapText="1"/>
    </xf>
    <xf borderId="46" numFmtId="118" fontId="47" fillId="48" applyNumberFormat="1" applyFill="1" applyFont="1" applyBorder="1" applyAlignment="1" applyProtection="0">
      <alignment horizontal="right" vertical="top" wrapText="1"/>
    </xf>
    <xf borderId="47" numFmtId="119" fontId="48" fillId="49" applyNumberFormat="1" applyFill="1" applyFont="1" applyBorder="1" applyAlignment="1" applyProtection="0">
      <alignment horizontal="right" vertical="top" wrapText="1"/>
    </xf>
    <xf borderId="48" numFmtId="0" fontId="49" fillId="50" applyNumberFormat="0" applyFill="1" applyFont="1" applyBorder="1" applyAlignment="1" applyProtection="0">
      <alignment horizontal="right" vertical="top" wrapText="1"/>
    </xf>
    <xf borderId="49" numFmtId="0" fontId="50" fillId="51" applyNumberFormat="0" applyFill="1" applyFont="1" applyBorder="1" applyAlignment="1" applyProtection="0">
      <alignment horizontal="left" vertical="top" wrapText="1"/>
    </xf>
    <xf borderId="50" numFmtId="0" fontId="51" fillId="52" applyNumberFormat="0" applyFill="1" applyFont="1" applyBorder="1" applyAlignment="1" applyProtection="0">
      <alignment horizontal="center" vertical="top" wrapText="1"/>
    </xf>
    <xf borderId="51" numFmtId="0" fontId="52" fillId="53" applyNumberFormat="0" applyFill="1" applyFont="1" applyBorder="1" applyAlignment="1" applyProtection="0">
      <alignment horizontal="right" vertical="top" wrapText="1"/>
    </xf>
    <xf borderId="0" numFmtId="0" fontId="53" fillId="54" applyNumberFormat="0" applyFill="1" applyFont="1" applyBorder="0" applyAlignment="1" applyProtection="0">
      <alignment horizontal="left" vertical="top" wrapText="1"/>
    </xf>
    <xf borderId="0" numFmtId="0" fontId="54" fillId="55" applyNumberFormat="0" applyFill="1" applyFont="1" applyBorder="0" applyAlignment="1" applyProtection="0">
      <alignment horizontal="center" vertical="top" wrapText="1"/>
    </xf>
    <xf borderId="0" numFmtId="0" fontId="55" fillId="56" applyNumberFormat="0" applyFill="1" applyFont="1" applyBorder="0" applyAlignment="1" applyProtection="0">
      <alignment horizontal="right" vertical="top" wrapText="1"/>
    </xf>
    <xf borderId="0" numFmtId="120" fontId="56" fillId="57" applyNumberFormat="1" applyFill="1" applyFont="1" applyBorder="0" applyAlignment="1" applyProtection="0">
      <alignment horizontal="right" vertical="top" wrapText="1"/>
    </xf>
    <xf borderId="0" numFmtId="121" fontId="57" fillId="58" applyNumberFormat="1" applyFill="1" applyFont="1" applyBorder="0" applyAlignment="1" applyProtection="0">
      <alignment horizontal="right" vertical="top" wrapText="1"/>
    </xf>
    <xf borderId="0" numFmtId="122" fontId="58" fillId="59" applyNumberFormat="1" applyFill="1" applyFont="1" applyBorder="0" applyAlignment="1" applyProtection="0">
      <alignment horizontal="left" vertical="top" wrapText="1"/>
    </xf>
    <xf borderId="0" numFmtId="123" fontId="59" fillId="60" applyNumberFormat="1" applyFill="1" applyFont="1" applyBorder="0" applyAlignment="1" applyProtection="0">
      <alignment horizontal="left" vertical="top" wrapText="1"/>
    </xf>
    <xf borderId="0" numFmtId="124" fontId="60" fillId="61" applyNumberFormat="1" applyFill="1" applyFont="1" applyBorder="0" applyAlignment="1" applyProtection="0">
      <alignment horizontal="right" vertical="top" wrapText="1"/>
    </xf>
    <xf borderId="0" numFmtId="125" fontId="61" fillId="62" applyNumberFormat="1" applyFill="1" applyFont="1" applyBorder="0" applyAlignment="1" applyProtection="0">
      <alignment horizontal="right" vertical="top" wrapText="1"/>
    </xf>
    <xf borderId="0" numFmtId="0" fontId="62" fillId="63" applyNumberFormat="0" applyFill="1" applyFont="1" applyBorder="0" applyAlignment="1" applyProtection="0">
      <alignment horizontal="left" vertical="top" wrapText="1"/>
    </xf>
    <xf borderId="0" numFmtId="0" fontId="63" fillId="64" applyNumberFormat="0" applyFill="1" applyFont="1" applyBorder="0" applyAlignment="1" applyProtection="0">
      <alignment horizontal="center" vertical="top" wrapText="1"/>
    </xf>
    <xf borderId="0" numFmtId="0" fontId="64" fillId="65" applyNumberFormat="0" applyFill="1" applyFont="1" applyBorder="0" applyAlignment="1" applyProtection="0">
      <alignment horizontal="right" vertical="top" wrapText="1"/>
    </xf>
    <xf borderId="0" numFmtId="126" fontId="65" fillId="66" applyNumberFormat="1" applyFill="1" applyFont="1" applyBorder="0" applyAlignment="1" applyProtection="0">
      <alignment horizontal="right" vertical="top" wrapText="1"/>
    </xf>
    <xf borderId="52" numFmtId="0" fontId="66" fillId="67" applyNumberFormat="0" applyFill="1" applyFont="1" applyBorder="1" applyAlignment="1" applyProtection="0">
      <alignment horizontal="left" vertical="top" wrapText="1"/>
    </xf>
    <xf borderId="53" numFmtId="0" fontId="67" fillId="68" applyNumberFormat="0" applyFill="1" applyFont="1" applyBorder="1" applyAlignment="1" applyProtection="0">
      <alignment horizontal="center" vertical="top" wrapText="1"/>
    </xf>
    <xf borderId="54" numFmtId="0" fontId="68" fillId="69" applyNumberFormat="0" applyFill="1" applyFont="1" applyBorder="1" applyAlignment="1" applyProtection="0">
      <alignment horizontal="right" vertical="top" wrapText="1"/>
    </xf>
    <xf borderId="55" numFmtId="0" fontId="69" fillId="70" applyNumberFormat="0" applyFill="1" applyFont="1" applyBorder="1" applyAlignment="1" applyProtection="0">
      <alignment horizontal="right" vertical="top" wrapText="1"/>
    </xf>
    <xf borderId="56" numFmtId="0" fontId="70" fillId="71" applyNumberFormat="0" applyFill="1" applyFont="1" applyBorder="1" applyAlignment="1" applyProtection="0">
      <alignment horizontal="right" vertical="top" wrapText="1"/>
    </xf>
    <xf borderId="57" numFmtId="0" fontId="71" fillId="72" applyNumberFormat="0" applyFill="1" applyFont="1" applyBorder="1" applyAlignment="1" applyProtection="0">
      <alignment horizontal="right" vertical="top" wrapText="1"/>
    </xf>
    <xf borderId="58" numFmtId="0" fontId="72" fillId="73" applyNumberFormat="0" applyFill="1" applyFont="1" applyBorder="1" applyAlignment="1" applyProtection="0">
      <alignment horizontal="right" vertical="top" wrapText="1"/>
    </xf>
    <xf borderId="0" numFmtId="0" fontId="73" fillId="74" applyNumberFormat="0" applyFill="1" applyFont="1" applyBorder="0" applyAlignment="1" applyProtection="0">
      <alignment horizontal="center" wrapText="1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styles.xml" Type="http://schemas.openxmlformats.org/officeDocument/2006/relationships/styles" Id="rId5"/></Relationships>
</file>

<file path=xl/drawings/_rels/drawing1.xml.rels><?xml version="1.0" encoding="UTF-8"?><Relationships xmlns="http://schemas.openxmlformats.org/package/2006/relationships"><Relationship Target="../media/image1.png" Type="http://schemas.openxmlformats.org/officeDocument/2006/relationships/image" Id="rId6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43000"/>
    <xdr:pic>
      <xdr:nvPicPr>
        <xdr:cNvPr id="2" name="" descr=""/>
        <xdr:cNvPicPr>
          <a:picLocks noChangeAspect="1" noSelect="1" noMove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7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1"/>
  </sheetPr>
  <dimension ref="A1:A212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0"/>
    <col min="2" max="2" bestFit="1" customWidth="1" width="10"/>
    <col min="3" max="3" bestFit="1" customWidth="1" width="13.2"/>
    <col min="4" max="4" bestFit="1" customWidth="1" width="60"/>
    <col min="5" max="5" bestFit="1" customWidth="1" width="8"/>
    <col min="6" max="6" bestFit="1" customWidth="1" width="13"/>
    <col min="7" max="7" bestFit="1" customWidth="1" width="13"/>
    <col min="8" max="8" bestFit="1" customWidth="1" width="13"/>
    <col min="9" max="9" bestFit="1" customWidth="1" width="13"/>
    <col min="10" max="10" bestFit="1" customWidth="1" width="13"/>
  </cols>
  <sheetData>
    <row r="1">
      <c r="A1" s="3"/>
      <c r="B1" s="3"/>
      <c r="C1" s="3"/>
      <c r="D1" s="3" t="inlineStr">
        <is>
          <t>Obra</t>
        </is>
      </c>
      <c r="E1" s="3" t="inlineStr">
        <is>
          <t>Bancos</t>
        </is>
      </c>
      <c r="F1" s="3"/>
      <c r="G1" s="3" t="inlineStr">
        <is>
          <t>B.D.I.</t>
        </is>
      </c>
      <c r="H1" s="3"/>
      <c r="I1" s="3" t="inlineStr">
        <is>
          <t>Encargos Sociais</t>
        </is>
      </c>
    </row>
    <row customHeight="1" ht="80" r="2">
      <c r="A2" s="55"/>
      <c r="B2" s="55"/>
      <c r="C2" s="55"/>
      <c r="D2" s="55" t="inlineStr">
        <is>
          <t>Reforma da DAEST e Laboratórios de Artes Visuais</t>
        </is>
      </c>
      <c r="E2" s="55" t="inlineStr">
        <is>
          <t>SINAPI - 06/2023 - Paraíba
SBC - 06/2023 - Paraíba
ORSE - 06/2023 - Sergipe
</t>
        </is>
      </c>
      <c r="F2" s="55"/>
      <c r="G2" s="55" t="inlineStr">
        <is>
          <t>23,44%</t>
        </is>
      </c>
      <c r="H2" s="55"/>
      <c r="I2" s="55" t="inlineStr">
        <is>
          <t>Desonerado: embutido nos preços unitário dos insumos de mão de obra, de acordo com as bases.</t>
        </is>
      </c>
    </row>
    <row r="3">
      <c r="A3" s="4" t="inlineStr">
        <is>
          <t>Orçamento Sintético</t>
        </is>
      </c>
    </row>
    <row customHeight="1" ht="30" r="4">
      <c r="A4" s="5" t="inlineStr">
        <is>
          <t>Item</t>
        </is>
      </c>
      <c r="B4" s="7" t="inlineStr">
        <is>
          <t>Código</t>
        </is>
      </c>
      <c r="C4" s="5" t="inlineStr">
        <is>
          <t>Banco</t>
        </is>
      </c>
      <c r="D4" s="5" t="inlineStr">
        <is>
          <t>Descrição</t>
        </is>
      </c>
      <c r="E4" s="6" t="inlineStr">
        <is>
          <t>Und</t>
        </is>
      </c>
      <c r="F4" s="7" t="inlineStr">
        <is>
          <t>Quant.</t>
        </is>
      </c>
      <c r="G4" s="7" t="inlineStr">
        <is>
          <t>Valor Unit</t>
        </is>
      </c>
      <c r="H4" s="7" t="inlineStr">
        <is>
          <t>Valor Unit com BDI</t>
        </is>
      </c>
      <c r="I4" s="7" t="inlineStr">
        <is>
          <t>Total</t>
        </is>
      </c>
    </row>
    <row customHeight="1" ht="24" r="5">
      <c r="A5" s="8" t="inlineStr">
        <is>
          <t> 1 </t>
        </is>
      </c>
      <c r="B5" s="8"/>
      <c r="C5" s="8"/>
      <c r="D5" s="8" t="inlineStr">
        <is>
          <t>SERVIÇOS PRELIMINARES</t>
        </is>
      </c>
      <c r="E5" s="8"/>
      <c r="F5" s="10"/>
      <c r="G5" s="8"/>
      <c r="H5" s="8"/>
      <c r="I5" s="11" t="n">
        <v>25769.28</v>
      </c>
    </row>
    <row customHeight="1" ht="24" r="6">
      <c r="A6" s="44" t="inlineStr">
        <is>
          <t> 1.1 </t>
        </is>
      </c>
      <c r="B6" s="46" t="inlineStr">
        <is>
          <t> CIVIL.TX.01 </t>
        </is>
      </c>
      <c r="C6" s="44" t="inlineStr">
        <is>
          <t>Próprio</t>
        </is>
      </c>
      <c r="D6" s="44" t="inlineStr">
        <is>
          <t>ART DE EXECUÇÃO 2023</t>
        </is>
      </c>
      <c r="E6" s="45" t="inlineStr">
        <is>
          <t>UN</t>
        </is>
      </c>
      <c r="F6" s="46" t="n">
        <v>1.0</v>
      </c>
      <c r="G6" s="47" t="n">
        <v>254.59</v>
      </c>
      <c r="H6" s="47" t="str">
        <f>TRUNC(G6 * (1 + 23.44 / 100), 2)</f>
      </c>
      <c r="I6" s="47" t="str">
        <f>TRUNC(F6 * h6, 2)</f>
      </c>
    </row>
    <row customHeight="1" ht="26" r="7">
      <c r="A7" s="16" t="inlineStr">
        <is>
          <t> 1.2 </t>
        </is>
      </c>
      <c r="B7" s="18" t="inlineStr">
        <is>
          <t> 040460 </t>
        </is>
      </c>
      <c r="C7" s="16" t="inlineStr">
        <is>
          <t>SBC</t>
        </is>
      </c>
      <c r="D7" s="16" t="inlineStr">
        <is>
          <t>CERCA/TAPUME PROTECAO DE OBRA EM COMPENSADO,REAPR.5 VEZES</t>
        </is>
      </c>
      <c r="E7" s="17" t="inlineStr">
        <is>
          <t>M</t>
        </is>
      </c>
      <c r="F7" s="18" t="n">
        <v>58.0</v>
      </c>
      <c r="G7" s="19" t="n">
        <v>65.66</v>
      </c>
      <c r="H7" s="19" t="str">
        <f>TRUNC(G7 * (1 + 23.44 / 100), 2)</f>
      </c>
      <c r="I7" s="19" t="str">
        <f>TRUNC(F7 * h7, 2)</f>
      </c>
    </row>
    <row customHeight="1" ht="26" r="8">
      <c r="A8" s="16" t="inlineStr">
        <is>
          <t> 1.3 </t>
        </is>
      </c>
      <c r="B8" s="18" t="inlineStr">
        <is>
          <t> CIVIL.SEDI.19 </t>
        </is>
      </c>
      <c r="C8" s="16" t="inlineStr">
        <is>
          <t>Próprio</t>
        </is>
      </c>
      <c r="D8" s="16" t="inlineStr">
        <is>
          <t>PLACA DE OBRA EM CHAPA DE ACO GALVANIZADO.  (REF.: 74209/001/SINAPI)</t>
        </is>
      </c>
      <c r="E8" s="17" t="inlineStr">
        <is>
          <t>m²</t>
        </is>
      </c>
      <c r="F8" s="18" t="n">
        <v>2.5</v>
      </c>
      <c r="G8" s="19" t="n">
        <v>371.12</v>
      </c>
      <c r="H8" s="19" t="str">
        <f>TRUNC(G8 * (1 + 23.44 / 100), 2)</f>
      </c>
      <c r="I8" s="19" t="str">
        <f>TRUNC(F8 * h8, 2)</f>
      </c>
    </row>
    <row customHeight="1" ht="39" r="9">
      <c r="A9" s="16" t="inlineStr">
        <is>
          <t> 1.4 </t>
        </is>
      </c>
      <c r="B9" s="18" t="inlineStr">
        <is>
          <t> CIVIL.SERP.13 </t>
        </is>
      </c>
      <c r="C9" s="16" t="inlineStr">
        <is>
          <t>Próprio</t>
        </is>
      </c>
      <c r="D9" s="16" t="inlineStr">
        <is>
          <t>DEMOLIÇÃO DE PASSEIO OU LAJE DE CONCRETO COM EQUIPAMENTO, INCLUSIVE AFASTAMENTO (REF. DEM-PIS-055/SETOP)</t>
        </is>
      </c>
      <c r="E9" s="17" t="inlineStr">
        <is>
          <t>m²</t>
        </is>
      </c>
      <c r="F9" s="18" t="n">
        <v>354.71</v>
      </c>
      <c r="G9" s="19" t="n">
        <v>22.95</v>
      </c>
      <c r="H9" s="19" t="str">
        <f>TRUNC(G9 * (1 + 23.44 / 100), 2)</f>
      </c>
      <c r="I9" s="19" t="str">
        <f>TRUNC(F9 * h9, 2)</f>
      </c>
    </row>
    <row customHeight="1" ht="39" r="10">
      <c r="A10" s="16" t="inlineStr">
        <is>
          <t> 1.5 </t>
        </is>
      </c>
      <c r="B10" s="18" t="inlineStr">
        <is>
          <t> 97625 </t>
        </is>
      </c>
      <c r="C10" s="16" t="inlineStr">
        <is>
          <t>SINAPI</t>
        </is>
      </c>
      <c r="D10" s="16" t="inlineStr">
        <is>
          <t>DEMOLIÇÃO DE ALVENARIA PARA QUALQUER TIPO DE BLOCO, DE FORMA MECANIZADA, SEM REAPROVEITAMENTO. AF_12/2017</t>
        </is>
      </c>
      <c r="E10" s="17" t="inlineStr">
        <is>
          <t>m³</t>
        </is>
      </c>
      <c r="F10" s="18" t="n">
        <v>62.98</v>
      </c>
      <c r="G10" s="19" t="n">
        <v>45.89</v>
      </c>
      <c r="H10" s="19" t="str">
        <f>TRUNC(G10 * (1 + 23.44 / 100), 2)</f>
      </c>
      <c r="I10" s="19" t="str">
        <f>TRUNC(F10 * h10, 2)</f>
      </c>
    </row>
    <row customHeight="1" ht="26" r="11">
      <c r="A11" s="16" t="inlineStr">
        <is>
          <t> 1.6 </t>
        </is>
      </c>
      <c r="B11" s="18" t="inlineStr">
        <is>
          <t> 97641 </t>
        </is>
      </c>
      <c r="C11" s="16" t="inlineStr">
        <is>
          <t>SINAPI</t>
        </is>
      </c>
      <c r="D11" s="16" t="inlineStr">
        <is>
          <t>REMOÇÃO DE FORRO DE GESSO, DE FORMA MANUAL, SEM REAPROVEITAMENTO. AF_12/2017</t>
        </is>
      </c>
      <c r="E11" s="17" t="inlineStr">
        <is>
          <t>m²</t>
        </is>
      </c>
      <c r="F11" s="18" t="n">
        <v>265.7</v>
      </c>
      <c r="G11" s="19" t="n">
        <v>3.72</v>
      </c>
      <c r="H11" s="19" t="str">
        <f>TRUNC(G11 * (1 + 23.44 / 100), 2)</f>
      </c>
      <c r="I11" s="19" t="str">
        <f>TRUNC(F11 * h11, 2)</f>
      </c>
    </row>
    <row customHeight="1" ht="26" r="12">
      <c r="A12" s="16" t="inlineStr">
        <is>
          <t> 1.7 </t>
        </is>
      </c>
      <c r="B12" s="18" t="inlineStr">
        <is>
          <t> CIVIL.SERP.16 </t>
        </is>
      </c>
      <c r="C12" s="16" t="inlineStr">
        <is>
          <t>Próprio</t>
        </is>
      </c>
      <c r="D12" s="16" t="inlineStr">
        <is>
          <t>DEMOLIÇÃO MANUAL DE DIVISÓRIA PAINEL PRÉ-FABRIC. EM GESSO (REF. 020149/AGETOP)</t>
        </is>
      </c>
      <c r="E12" s="17" t="inlineStr">
        <is>
          <t>m²</t>
        </is>
      </c>
      <c r="F12" s="18" t="n">
        <v>57.89</v>
      </c>
      <c r="G12" s="19" t="n">
        <v>5.44</v>
      </c>
      <c r="H12" s="19" t="str">
        <f>TRUNC(G12 * (1 + 23.44 / 100), 2)</f>
      </c>
      <c r="I12" s="19" t="str">
        <f>TRUNC(F12 * h12, 2)</f>
      </c>
    </row>
    <row customHeight="1" ht="24" r="13">
      <c r="A13" s="16" t="inlineStr">
        <is>
          <t> 1.8 </t>
        </is>
      </c>
      <c r="B13" s="18" t="inlineStr">
        <is>
          <t> 72142 </t>
        </is>
      </c>
      <c r="C13" s="16" t="inlineStr">
        <is>
          <t>SINAPI</t>
        </is>
      </c>
      <c r="D13" s="16" t="inlineStr">
        <is>
          <t>RETIRADA DE FOLHAS DE PORTA DE PASSAGEM OU JANELA</t>
        </is>
      </c>
      <c r="E13" s="17" t="inlineStr">
        <is>
          <t>UN</t>
        </is>
      </c>
      <c r="F13" s="18" t="n">
        <v>25.0</v>
      </c>
      <c r="G13" s="19" t="n">
        <v>9.68</v>
      </c>
      <c r="H13" s="19" t="str">
        <f>TRUNC(G13 * (1 + 23.44 / 100), 2)</f>
      </c>
      <c r="I13" s="19" t="str">
        <f>TRUNC(F13 * h13, 2)</f>
      </c>
    </row>
    <row customHeight="1" ht="26" r="14">
      <c r="A14" s="16" t="inlineStr">
        <is>
          <t> 1.9 </t>
        </is>
      </c>
      <c r="B14" s="18" t="inlineStr">
        <is>
          <t> 97663 </t>
        </is>
      </c>
      <c r="C14" s="16" t="inlineStr">
        <is>
          <t>SINAPI</t>
        </is>
      </c>
      <c r="D14" s="16" t="inlineStr">
        <is>
          <t>REMOÇÃO DE LOUÇAS, DE FORMA MANUAL, SEM REAPROVEITAMENTO. AF_12/2017</t>
        </is>
      </c>
      <c r="E14" s="17" t="inlineStr">
        <is>
          <t>UN</t>
        </is>
      </c>
      <c r="F14" s="18" t="n">
        <v>8.0</v>
      </c>
      <c r="G14" s="19" t="n">
        <v>9.07</v>
      </c>
      <c r="H14" s="19" t="str">
        <f>TRUNC(G14 * (1 + 23.44 / 100), 2)</f>
      </c>
      <c r="I14" s="19" t="str">
        <f>TRUNC(F14 * h14, 2)</f>
      </c>
    </row>
    <row customHeight="1" ht="26" r="15">
      <c r="A15" s="16" t="inlineStr">
        <is>
          <t> 1.10 </t>
        </is>
      </c>
      <c r="B15" s="18" t="inlineStr">
        <is>
          <t> 97666 </t>
        </is>
      </c>
      <c r="C15" s="16" t="inlineStr">
        <is>
          <t>SINAPI</t>
        </is>
      </c>
      <c r="D15" s="16" t="inlineStr">
        <is>
          <t>REMOÇÃO DE METAIS SANITÁRIOS, DE FORMA MANUAL, SEM REAPROVEITAMENTO. AF_12/2017</t>
        </is>
      </c>
      <c r="E15" s="17" t="inlineStr">
        <is>
          <t>UN</t>
        </is>
      </c>
      <c r="F15" s="18" t="n">
        <v>18.0</v>
      </c>
      <c r="G15" s="19" t="n">
        <v>6.61</v>
      </c>
      <c r="H15" s="19" t="str">
        <f>TRUNC(G15 * (1 + 23.44 / 100), 2)</f>
      </c>
      <c r="I15" s="19" t="str">
        <f>TRUNC(F15 * h15, 2)</f>
      </c>
    </row>
    <row customHeight="1" ht="26" r="16">
      <c r="A16" s="16" t="inlineStr">
        <is>
          <t> 1.11 </t>
        </is>
      </c>
      <c r="B16" s="18" t="inlineStr">
        <is>
          <t> CIVIL.SERP.04 </t>
        </is>
      </c>
      <c r="C16" s="16" t="inlineStr">
        <is>
          <t>Próprio</t>
        </is>
      </c>
      <c r="D16" s="16" t="inlineStr">
        <is>
          <t>Remoção de bancada de granito (ou mármore) (REF. 8387/ORSE)</t>
        </is>
      </c>
      <c r="E16" s="17" t="inlineStr">
        <is>
          <t>m²</t>
        </is>
      </c>
      <c r="F16" s="18" t="n">
        <v>5.16</v>
      </c>
      <c r="G16" s="19" t="n">
        <v>19.37</v>
      </c>
      <c r="H16" s="19" t="str">
        <f>TRUNC(G16 * (1 + 23.44 / 100), 2)</f>
      </c>
      <c r="I16" s="19" t="str">
        <f>TRUNC(F16 * h16, 2)</f>
      </c>
    </row>
    <row customHeight="1" ht="39" r="17">
      <c r="A17" s="16" t="inlineStr">
        <is>
          <t> 1.12 </t>
        </is>
      </c>
      <c r="B17" s="18" t="inlineStr">
        <is>
          <t> 97634 </t>
        </is>
      </c>
      <c r="C17" s="16" t="inlineStr">
        <is>
          <t>SINAPI</t>
        </is>
      </c>
      <c r="D17" s="16" t="inlineStr">
        <is>
          <t>DEMOLIÇÃO DE REVESTIMENTO CERÂMICO, DE FORMA MECANIZADA COM MARTELETE, SEM REAPROVEITAMENTO. AF_12/2017</t>
        </is>
      </c>
      <c r="E17" s="17" t="inlineStr">
        <is>
          <t>m²</t>
        </is>
      </c>
      <c r="F17" s="18" t="n">
        <v>255.29</v>
      </c>
      <c r="G17" s="19" t="n">
        <v>9.08</v>
      </c>
      <c r="H17" s="19" t="str">
        <f>TRUNC(G17 * (1 + 23.44 / 100), 2)</f>
      </c>
      <c r="I17" s="19" t="str">
        <f>TRUNC(F17 * h17, 2)</f>
      </c>
    </row>
    <row customHeight="1" ht="26" r="18">
      <c r="A18" s="16" t="inlineStr">
        <is>
          <t> 1.13 </t>
        </is>
      </c>
      <c r="B18" s="18" t="inlineStr">
        <is>
          <t> 97631 </t>
        </is>
      </c>
      <c r="C18" s="16" t="inlineStr">
        <is>
          <t>SINAPI</t>
        </is>
      </c>
      <c r="D18" s="16" t="inlineStr">
        <is>
          <t>DEMOLIÇÃO DE ARGAMASSAS, DE FORMA MANUAL, SEM REAPROVEITAMENTO. AF_12/2017</t>
        </is>
      </c>
      <c r="E18" s="17" t="inlineStr">
        <is>
          <t>m²</t>
        </is>
      </c>
      <c r="F18" s="18" t="n">
        <v>41.52</v>
      </c>
      <c r="G18" s="19" t="n">
        <v>2.47</v>
      </c>
      <c r="H18" s="19" t="str">
        <f>TRUNC(G18 * (1 + 23.44 / 100), 2)</f>
      </c>
      <c r="I18" s="19" t="str">
        <f>TRUNC(F18 * h18, 2)</f>
      </c>
    </row>
    <row customHeight="1" ht="26" r="19">
      <c r="A19" s="16" t="inlineStr">
        <is>
          <t> 1.14 </t>
        </is>
      </c>
      <c r="B19" s="18" t="inlineStr">
        <is>
          <t> CIVIL.SEDI.27 </t>
        </is>
      </c>
      <c r="C19" s="16" t="inlineStr">
        <is>
          <t>Próprio</t>
        </is>
      </c>
      <c r="D19" s="16" t="inlineStr">
        <is>
          <t>Demolição de alvenaria de elementos vazados (cobogó), sem reaproveitamento (ref. ORSE 8038)</t>
        </is>
      </c>
      <c r="E19" s="17" t="inlineStr">
        <is>
          <t>m³</t>
        </is>
      </c>
      <c r="F19" s="18" t="n">
        <v>16.3</v>
      </c>
      <c r="G19" s="19" t="n">
        <v>37.02</v>
      </c>
      <c r="H19" s="19" t="str">
        <f>TRUNC(G19 * (1 + 23.44 / 100), 2)</f>
      </c>
      <c r="I19" s="19" t="str">
        <f>TRUNC(F19 * h19, 2)</f>
      </c>
    </row>
    <row customHeight="1" ht="24" r="20">
      <c r="A20" s="8" t="inlineStr">
        <is>
          <t> 2 </t>
        </is>
      </c>
      <c r="B20" s="8"/>
      <c r="C20" s="8"/>
      <c r="D20" s="8" t="inlineStr">
        <is>
          <t>INFRAESTRUTURA</t>
        </is>
      </c>
      <c r="E20" s="8"/>
      <c r="F20" s="10"/>
      <c r="G20" s="8"/>
      <c r="H20" s="8"/>
      <c r="I20" s="11" t="n">
        <v>2138.9</v>
      </c>
    </row>
    <row customHeight="1" ht="24" r="21">
      <c r="A21" s="16" t="inlineStr">
        <is>
          <t> 2.1 </t>
        </is>
      </c>
      <c r="B21" s="18" t="inlineStr">
        <is>
          <t> CIVIL.SEDI.28 </t>
        </is>
      </c>
      <c r="C21" s="16" t="inlineStr">
        <is>
          <t>Próprio</t>
        </is>
      </c>
      <c r="D21" s="16" t="inlineStr">
        <is>
          <t>Regularização Manual (REF. 5103/ORSE)</t>
        </is>
      </c>
      <c r="E21" s="17" t="inlineStr">
        <is>
          <t>m²</t>
        </is>
      </c>
      <c r="F21" s="18" t="n">
        <v>354.71</v>
      </c>
      <c r="G21" s="19" t="n">
        <v>4.89</v>
      </c>
      <c r="H21" s="19" t="str">
        <f>TRUNC(G21 * (1 + 23.44 / 100), 2)</f>
      </c>
      <c r="I21" s="19" t="str">
        <f>TRUNC(F21 * h21, 2)</f>
      </c>
    </row>
    <row customHeight="1" ht="24" r="22">
      <c r="A22" s="8" t="inlineStr">
        <is>
          <t> 3 </t>
        </is>
      </c>
      <c r="B22" s="8"/>
      <c r="C22" s="8"/>
      <c r="D22" s="8" t="inlineStr">
        <is>
          <t>ALVENARIAS E VEDAÇÕES</t>
        </is>
      </c>
      <c r="E22" s="8"/>
      <c r="F22" s="10"/>
      <c r="G22" s="8"/>
      <c r="H22" s="8"/>
      <c r="I22" s="11" t="n">
        <v>73058.48</v>
      </c>
    </row>
    <row customHeight="1" ht="52" r="23">
      <c r="A23" s="16" t="inlineStr">
        <is>
          <t> 3.1 </t>
        </is>
      </c>
      <c r="B23" s="18" t="inlineStr">
        <is>
          <t> 103328 </t>
        </is>
      </c>
      <c r="C23" s="16" t="inlineStr">
        <is>
          <t>SINAPI</t>
        </is>
      </c>
      <c r="D23" s="16" t="inlineStr">
        <is>
          <t>ALVENARIA DE VEDAÇÃO DE BLOCOS CERÂMICOS FURADOS NA HORIZONTAL DE 9X19X19 CM (ESPESSURA 9 CM) E ARGAMASSA DE ASSENTAMENTO COM PREPARO EM BETONEIRA. AF_12/2021</t>
        </is>
      </c>
      <c r="E23" s="17" t="inlineStr">
        <is>
          <t>m²</t>
        </is>
      </c>
      <c r="F23" s="18" t="n">
        <v>185.95</v>
      </c>
      <c r="G23" s="19" t="n">
        <v>71.42</v>
      </c>
      <c r="H23" s="19" t="str">
        <f>TRUNC(G23 * (1 + 23.44 / 100), 2)</f>
      </c>
      <c r="I23" s="19" t="str">
        <f>TRUNC(F23 * h23, 2)</f>
      </c>
    </row>
    <row customHeight="1" ht="52" r="24">
      <c r="A24" s="16" t="inlineStr">
        <is>
          <t> 3.2 </t>
        </is>
      </c>
      <c r="B24" s="18" t="inlineStr">
        <is>
          <t> 96359 </t>
        </is>
      </c>
      <c r="C24" s="16" t="inlineStr">
        <is>
          <t>SINAPI</t>
        </is>
      </c>
      <c r="D24" s="16" t="inlineStr">
        <is>
          <t>PAREDE COM PLACAS DE GESSO ACARTONADO (DRYWALL), PARA USO INTERNO, COM DUAS FACES SIMPLES E ESTRUTURA METÁLICA COM GUIAS SIMPLES, COM VÃOS AF_06/2017_P</t>
        </is>
      </c>
      <c r="E24" s="17" t="inlineStr">
        <is>
          <t>m²</t>
        </is>
      </c>
      <c r="F24" s="18" t="n">
        <v>127.53</v>
      </c>
      <c r="G24" s="19" t="n">
        <v>92.48</v>
      </c>
      <c r="H24" s="19" t="str">
        <f>TRUNC(G24 * (1 + 23.44 / 100), 2)</f>
      </c>
      <c r="I24" s="19" t="str">
        <f>TRUNC(F24 * h24, 2)</f>
      </c>
    </row>
    <row customHeight="1" ht="52" r="25">
      <c r="A25" s="16" t="inlineStr">
        <is>
          <t> 3.3 </t>
        </is>
      </c>
      <c r="B25" s="18" t="inlineStr">
        <is>
          <t> 96358 </t>
        </is>
      </c>
      <c r="C25" s="16" t="inlineStr">
        <is>
          <t>SINAPI</t>
        </is>
      </c>
      <c r="D25" s="16" t="inlineStr">
        <is>
          <t>PAREDE COM PLACAS DE GESSO ACARTONADO (DRYWALL), PARA USO INTERNO, COM DUAS FACES SIMPLES E ESTRUTURA METÁLICA COM GUIAS SIMPLES, SEM VÃOS. AF_06/2017_P</t>
        </is>
      </c>
      <c r="E25" s="17" t="inlineStr">
        <is>
          <t>m²</t>
        </is>
      </c>
      <c r="F25" s="18" t="n">
        <v>147.88</v>
      </c>
      <c r="G25" s="19" t="n">
        <v>82.57</v>
      </c>
      <c r="H25" s="19" t="str">
        <f>TRUNC(G25 * (1 + 23.44 / 100), 2)</f>
      </c>
      <c r="I25" s="19" t="str">
        <f>TRUNC(F25 * h25, 2)</f>
      </c>
    </row>
    <row customHeight="1" ht="26" r="26">
      <c r="A26" s="16" t="inlineStr">
        <is>
          <t> 3.4 </t>
        </is>
      </c>
      <c r="B26" s="18" t="inlineStr">
        <is>
          <t> 93186 </t>
        </is>
      </c>
      <c r="C26" s="16" t="inlineStr">
        <is>
          <t>SINAPI</t>
        </is>
      </c>
      <c r="D26" s="16" t="inlineStr">
        <is>
          <t>VERGA MOLDADA IN LOCO EM CONCRETO PARA JANELAS COM ATÉ 1,5 M DE VÃO. AF_03/2016</t>
        </is>
      </c>
      <c r="E26" s="17" t="inlineStr">
        <is>
          <t>M</t>
        </is>
      </c>
      <c r="F26" s="18" t="n">
        <v>6.0</v>
      </c>
      <c r="G26" s="19" t="n">
        <v>80.61</v>
      </c>
      <c r="H26" s="19" t="str">
        <f>TRUNC(G26 * (1 + 23.44 / 100), 2)</f>
      </c>
      <c r="I26" s="19" t="str">
        <f>TRUNC(F26 * h26, 2)</f>
      </c>
    </row>
    <row customHeight="1" ht="26" r="27">
      <c r="A27" s="16" t="inlineStr">
        <is>
          <t> 3.5 </t>
        </is>
      </c>
      <c r="B27" s="18" t="inlineStr">
        <is>
          <t> 93196 </t>
        </is>
      </c>
      <c r="C27" s="16" t="inlineStr">
        <is>
          <t>SINAPI</t>
        </is>
      </c>
      <c r="D27" s="16" t="inlineStr">
        <is>
          <t>CONTRAVERGA MOLDADA IN LOCO EM CONCRETO PARA VÃOS DE ATÉ 1,5 M DE COMPRIMENTO. AF_03/2016</t>
        </is>
      </c>
      <c r="E27" s="17" t="inlineStr">
        <is>
          <t>M</t>
        </is>
      </c>
      <c r="F27" s="18" t="n">
        <v>6.0</v>
      </c>
      <c r="G27" s="19" t="n">
        <v>75.63</v>
      </c>
      <c r="H27" s="19" t="str">
        <f>TRUNC(G27 * (1 + 23.44 / 100), 2)</f>
      </c>
      <c r="I27" s="19" t="str">
        <f>TRUNC(F27 * h27, 2)</f>
      </c>
    </row>
    <row customHeight="1" ht="26" r="28">
      <c r="A28" s="16" t="inlineStr">
        <is>
          <t> 3.6 </t>
        </is>
      </c>
      <c r="B28" s="18" t="inlineStr">
        <is>
          <t> 93187 </t>
        </is>
      </c>
      <c r="C28" s="16" t="inlineStr">
        <is>
          <t>SINAPI</t>
        </is>
      </c>
      <c r="D28" s="16" t="inlineStr">
        <is>
          <t>VERGA MOLDADA IN LOCO EM CONCRETO PARA JANELAS COM MAIS DE 1,5 M DE VÃO. AF_03/2016</t>
        </is>
      </c>
      <c r="E28" s="17" t="inlineStr">
        <is>
          <t>M</t>
        </is>
      </c>
      <c r="F28" s="18" t="n">
        <v>62.4</v>
      </c>
      <c r="G28" s="19" t="n">
        <v>91.42</v>
      </c>
      <c r="H28" s="19" t="str">
        <f>TRUNC(G28 * (1 + 23.44 / 100), 2)</f>
      </c>
      <c r="I28" s="19" t="str">
        <f>TRUNC(F28 * h28, 2)</f>
      </c>
    </row>
    <row customHeight="1" ht="26" r="29">
      <c r="A29" s="16" t="inlineStr">
        <is>
          <t> 3.7 </t>
        </is>
      </c>
      <c r="B29" s="18" t="inlineStr">
        <is>
          <t> 93197 </t>
        </is>
      </c>
      <c r="C29" s="16" t="inlineStr">
        <is>
          <t>SINAPI</t>
        </is>
      </c>
      <c r="D29" s="16" t="inlineStr">
        <is>
          <t>CONTRAVERGA MOLDADA IN LOCO EM CONCRETO PARA VÃOS DE MAIS DE 1,5 M DE COMPRIMENTO. AF_03/2016</t>
        </is>
      </c>
      <c r="E29" s="17" t="inlineStr">
        <is>
          <t>M</t>
        </is>
      </c>
      <c r="F29" s="18" t="n">
        <v>62.4</v>
      </c>
      <c r="G29" s="19" t="n">
        <v>85.02</v>
      </c>
      <c r="H29" s="19" t="str">
        <f>TRUNC(G29 * (1 + 23.44 / 100), 2)</f>
      </c>
      <c r="I29" s="19" t="str">
        <f>TRUNC(F29 * h29, 2)</f>
      </c>
    </row>
    <row customHeight="1" ht="26" r="30">
      <c r="A30" s="16" t="inlineStr">
        <is>
          <t> 3.8 </t>
        </is>
      </c>
      <c r="B30" s="18" t="inlineStr">
        <is>
          <t> 93188 </t>
        </is>
      </c>
      <c r="C30" s="16" t="inlineStr">
        <is>
          <t>SINAPI</t>
        </is>
      </c>
      <c r="D30" s="16" t="inlineStr">
        <is>
          <t>VERGA MOLDADA IN LOCO EM CONCRETO PARA PORTAS COM ATÉ 1,5 M DE VÃO. AF_03/2016</t>
        </is>
      </c>
      <c r="E30" s="17" t="inlineStr">
        <is>
          <t>M</t>
        </is>
      </c>
      <c r="F30" s="18" t="n">
        <v>14.3</v>
      </c>
      <c r="G30" s="19" t="n">
        <v>81.29</v>
      </c>
      <c r="H30" s="19" t="str">
        <f>TRUNC(G30 * (1 + 23.44 / 100), 2)</f>
      </c>
      <c r="I30" s="19" t="str">
        <f>TRUNC(F30 * h30, 2)</f>
      </c>
    </row>
    <row customHeight="1" ht="26" r="31">
      <c r="A31" s="16" t="inlineStr">
        <is>
          <t> 3.9 </t>
        </is>
      </c>
      <c r="B31" s="18" t="inlineStr">
        <is>
          <t> 93189 </t>
        </is>
      </c>
      <c r="C31" s="16" t="inlineStr">
        <is>
          <t>SINAPI</t>
        </is>
      </c>
      <c r="D31" s="16" t="inlineStr">
        <is>
          <t>VERGA MOLDADA IN LOCO EM CONCRETO PARA PORTAS COM MAIS DE 1,5 M DE VÃO. AF_03/2016</t>
        </is>
      </c>
      <c r="E31" s="17" t="inlineStr">
        <is>
          <t>M</t>
        </is>
      </c>
      <c r="F31" s="18" t="n">
        <v>2.4</v>
      </c>
      <c r="G31" s="19" t="n">
        <v>93.38</v>
      </c>
      <c r="H31" s="19" t="str">
        <f>TRUNC(G31 * (1 + 23.44 / 100), 2)</f>
      </c>
      <c r="I31" s="19" t="str">
        <f>TRUNC(F31 * h31, 2)</f>
      </c>
    </row>
    <row customHeight="1" ht="26" r="32">
      <c r="A32" s="16" t="inlineStr">
        <is>
          <t> 3.10 </t>
        </is>
      </c>
      <c r="B32" s="18" t="inlineStr">
        <is>
          <t> 96372 </t>
        </is>
      </c>
      <c r="C32" s="16" t="inlineStr">
        <is>
          <t>SINAPI</t>
        </is>
      </c>
      <c r="D32" s="16" t="inlineStr">
        <is>
          <t>INSTALAÇÃO DE ISOLAMENTO COM LÃ DE ROCHA EM PAREDES DRYWALL. AF_06/2017</t>
        </is>
      </c>
      <c r="E32" s="17" t="inlineStr">
        <is>
          <t>m²</t>
        </is>
      </c>
      <c r="F32" s="18" t="n">
        <v>275.4</v>
      </c>
      <c r="G32" s="19" t="n">
        <v>30.58</v>
      </c>
      <c r="H32" s="19" t="str">
        <f>TRUNC(G32 * (1 + 23.44 / 100), 2)</f>
      </c>
      <c r="I32" s="19" t="str">
        <f>TRUNC(F32 * h32, 2)</f>
      </c>
    </row>
    <row customHeight="1" ht="26" r="33">
      <c r="A33" s="16" t="inlineStr">
        <is>
          <t> 3.11 </t>
        </is>
      </c>
      <c r="B33" s="18" t="inlineStr">
        <is>
          <t> 96373 </t>
        </is>
      </c>
      <c r="C33" s="16" t="inlineStr">
        <is>
          <t>SINAPI</t>
        </is>
      </c>
      <c r="D33" s="16" t="inlineStr">
        <is>
          <t>INSTALAÇÃO DE REFORÇO METÁLICO EM PAREDE DRYWALL. AF_06/2017</t>
        </is>
      </c>
      <c r="E33" s="17" t="inlineStr">
        <is>
          <t>M</t>
        </is>
      </c>
      <c r="F33" s="18" t="n">
        <v>14.7</v>
      </c>
      <c r="G33" s="19" t="n">
        <v>10.15</v>
      </c>
      <c r="H33" s="19" t="str">
        <f>TRUNC(G33 * (1 + 23.44 / 100), 2)</f>
      </c>
      <c r="I33" s="19" t="str">
        <f>TRUNC(F33 * h33, 2)</f>
      </c>
    </row>
    <row customHeight="1" ht="24" r="34">
      <c r="A34" s="8" t="inlineStr">
        <is>
          <t> 4 </t>
        </is>
      </c>
      <c r="B34" s="8"/>
      <c r="C34" s="8"/>
      <c r="D34" s="8" t="inlineStr">
        <is>
          <t>REVESTIMENTO</t>
        </is>
      </c>
      <c r="E34" s="8"/>
      <c r="F34" s="10"/>
      <c r="G34" s="8"/>
      <c r="H34" s="8"/>
      <c r="I34" s="11" t="n">
        <v>64702.03</v>
      </c>
    </row>
    <row customHeight="1" ht="52" r="35">
      <c r="A35" s="16" t="inlineStr">
        <is>
          <t> 4.1 </t>
        </is>
      </c>
      <c r="B35" s="18" t="inlineStr">
        <is>
          <t> 87879 </t>
        </is>
      </c>
      <c r="C35" s="16" t="inlineStr">
        <is>
          <t>SINAPI</t>
        </is>
      </c>
      <c r="D35" s="16" t="inlineStr">
        <is>
          <t>CHAPISCO APLICADO EM ALVENARIAS E ESTRUTURAS DE CONCRETO INTERNAS, COM COLHER DE PEDREIRO.  ARGAMASSA TRAÇO 1:3 COM PREPARO EM BETONEIRA 400L. AF_06/2014</t>
        </is>
      </c>
      <c r="E35" s="17" t="inlineStr">
        <is>
          <t>m²</t>
        </is>
      </c>
      <c r="F35" s="18" t="n">
        <v>805.88</v>
      </c>
      <c r="G35" s="19" t="n">
        <v>3.57</v>
      </c>
      <c r="H35" s="19" t="str">
        <f>TRUNC(G35 * (1 + 23.44 / 100), 2)</f>
      </c>
      <c r="I35" s="19" t="str">
        <f>TRUNC(F35 * h35, 2)</f>
      </c>
    </row>
    <row customHeight="1" ht="52" r="36">
      <c r="A36" s="16" t="inlineStr">
        <is>
          <t> 4.2 </t>
        </is>
      </c>
      <c r="B36" s="18" t="inlineStr">
        <is>
          <t> 87894 </t>
        </is>
      </c>
      <c r="C36" s="16" t="inlineStr">
        <is>
          <t>SINAPI</t>
        </is>
      </c>
      <c r="D36" s="16" t="inlineStr">
        <is>
          <t>CHAPISCO APLICADO EM ALVENARIA (SEM PRESENÇA DE VÃOS) E ESTRUTURAS DE CONCRETO DE FACHADA, COM COLHER DE PEDREIRO.  ARGAMASSA TRAÇO 1:3 COM PREPARO EM BETONEIRA 400L. AF_06/2014</t>
        </is>
      </c>
      <c r="E36" s="17" t="inlineStr">
        <is>
          <t>m²</t>
        </is>
      </c>
      <c r="F36" s="18" t="n">
        <v>12.52</v>
      </c>
      <c r="G36" s="19" t="n">
        <v>5.37</v>
      </c>
      <c r="H36" s="19" t="str">
        <f>TRUNC(G36 * (1 + 23.44 / 100), 2)</f>
      </c>
      <c r="I36" s="19" t="str">
        <f>TRUNC(F36 * h36, 2)</f>
      </c>
    </row>
    <row customHeight="1" ht="52" r="37">
      <c r="A37" s="16" t="inlineStr">
        <is>
          <t> 4.3 </t>
        </is>
      </c>
      <c r="B37" s="18" t="inlineStr">
        <is>
          <t> 87905 </t>
        </is>
      </c>
      <c r="C37" s="16" t="inlineStr">
        <is>
          <t>SINAPI</t>
        </is>
      </c>
      <c r="D37" s="16" t="inlineStr">
        <is>
          <t>CHAPISCO APLICADO EM ALVENARIA (COM PRESENÇA DE VÃOS) E ESTRUTURAS DE CONCRETO DE FACHADA, COM COLHER DE PEDREIRO.  ARGAMASSA TRAÇO 1:3 COM PREPARO EM BETONEIRA 400L. AF_06/2014</t>
        </is>
      </c>
      <c r="E37" s="17" t="inlineStr">
        <is>
          <t>m²</t>
        </is>
      </c>
      <c r="F37" s="18" t="n">
        <v>37.65</v>
      </c>
      <c r="G37" s="19" t="n">
        <v>6.22</v>
      </c>
      <c r="H37" s="19" t="str">
        <f>TRUNC(G37 * (1 + 23.44 / 100), 2)</f>
      </c>
      <c r="I37" s="19" t="str">
        <f>TRUNC(F37 * h37, 2)</f>
      </c>
    </row>
    <row customHeight="1" ht="65" r="38">
      <c r="A38" s="16" t="inlineStr">
        <is>
          <t> 4.4 </t>
        </is>
      </c>
      <c r="B38" s="18" t="inlineStr">
        <is>
          <t> 87529 </t>
        </is>
      </c>
      <c r="C38" s="16" t="inlineStr">
        <is>
          <t>SINAPI</t>
        </is>
      </c>
      <c r="D38" s="16" t="inlineStr">
        <is>
          <t>MASSA ÚNICA, PARA RECEBIMENTO DE PINTURA, EM ARGAMASSA TRAÇO 1:2:8, PREPARO MECÂNICO COM BETONEIRA 400L, APLICADA MANUALMENTE EM FACES INTERNAS DE PAREDES, ESPESSURA DE 20MM, COM EXECUÇÃO DE TALISCAS. AF_06/2014</t>
        </is>
      </c>
      <c r="E38" s="17" t="inlineStr">
        <is>
          <t>m²</t>
        </is>
      </c>
      <c r="F38" s="18" t="n">
        <v>686.06</v>
      </c>
      <c r="G38" s="19" t="n">
        <v>30.99</v>
      </c>
      <c r="H38" s="19" t="str">
        <f>TRUNC(G38 * (1 + 23.44 / 100), 2)</f>
      </c>
      <c r="I38" s="19" t="str">
        <f>TRUNC(F38 * h38, 2)</f>
      </c>
    </row>
    <row customHeight="1" ht="65" r="39">
      <c r="A39" s="16" t="inlineStr">
        <is>
          <t> 4.5 </t>
        </is>
      </c>
      <c r="B39" s="18" t="inlineStr">
        <is>
          <t> 87527 </t>
        </is>
      </c>
      <c r="C39" s="16" t="inlineStr">
        <is>
          <t>SINAPI</t>
        </is>
      </c>
      <c r="D39" s="16" t="inlineStr">
        <is>
          <t>EMBOÇO, PARA RECEBIMENTO DE CERÂMICA, EM ARGAMASSA TRAÇO 1:2:8, PREPARO MECÂNICO COM BETONEIRA 400L, APLICADO MANUALMENTE EM FACES INTERNAS DE PAREDES, PARA AMBIENTE COM ÁREA MENOR QUE 5M2, ESPESSURA DE 20MM, COM EXECUÇÃO DE TALISCAS. AF_06/2014</t>
        </is>
      </c>
      <c r="E39" s="17" t="inlineStr">
        <is>
          <t>m²</t>
        </is>
      </c>
      <c r="F39" s="18" t="n">
        <v>63.31</v>
      </c>
      <c r="G39" s="19" t="n">
        <v>33.88</v>
      </c>
      <c r="H39" s="19" t="str">
        <f>TRUNC(G39 * (1 + 23.44 / 100), 2)</f>
      </c>
      <c r="I39" s="19" t="str">
        <f>TRUNC(F39 * h39, 2)</f>
      </c>
    </row>
    <row customHeight="1" ht="52" r="40">
      <c r="A40" s="16" t="inlineStr">
        <is>
          <t> 4.6 </t>
        </is>
      </c>
      <c r="B40" s="18" t="inlineStr">
        <is>
          <t> 87792 </t>
        </is>
      </c>
      <c r="C40" s="16" t="inlineStr">
        <is>
          <t>SINAPI</t>
        </is>
      </c>
      <c r="D40" s="16" t="inlineStr">
        <is>
          <t>EMBOÇO OU MASSA ÚNICA EM ARGAMASSA TRAÇO 1:2:8, PREPARO MECÂNICO COM BETONEIRA 400 L, APLICADA MANUALMENTE EM PANOS CEGOS DE FACHADA (SEM PRESENÇA DE VÃOS), ESPESSURA DE 25 MM. AF_06/2014</t>
        </is>
      </c>
      <c r="E40" s="17" t="inlineStr">
        <is>
          <t>m²</t>
        </is>
      </c>
      <c r="F40" s="18" t="n">
        <v>6.85</v>
      </c>
      <c r="G40" s="19" t="n">
        <v>32.19</v>
      </c>
      <c r="H40" s="19" t="str">
        <f>TRUNC(G40 * (1 + 23.44 / 100), 2)</f>
      </c>
      <c r="I40" s="19" t="str">
        <f>TRUNC(F40 * h40, 2)</f>
      </c>
    </row>
    <row customHeight="1" ht="52" r="41">
      <c r="A41" s="16" t="inlineStr">
        <is>
          <t> 4.7 </t>
        </is>
      </c>
      <c r="B41" s="18" t="inlineStr">
        <is>
          <t> 87775 </t>
        </is>
      </c>
      <c r="C41" s="16" t="inlineStr">
        <is>
          <t>SINAPI</t>
        </is>
      </c>
      <c r="D41" s="16" t="inlineStr">
        <is>
          <t>EMBOÇO OU MASSA ÚNICA EM ARGAMASSA TRAÇO 1:2:8, PREPARO MECÂNICO COM BETONEIRA 400 L, APLICADA MANUALMENTE EM PANOS DE FACHADA COM PRESENÇA DE VÃOS, ESPESSURA DE 25 MM. AF_06/2014</t>
        </is>
      </c>
      <c r="E41" s="17" t="inlineStr">
        <is>
          <t>m²</t>
        </is>
      </c>
      <c r="F41" s="18" t="n">
        <v>39.0</v>
      </c>
      <c r="G41" s="19" t="n">
        <v>42.83</v>
      </c>
      <c r="H41" s="19" t="str">
        <f>TRUNC(G41 * (1 + 23.44 / 100), 2)</f>
      </c>
      <c r="I41" s="19" t="str">
        <f>TRUNC(F41 * h41, 2)</f>
      </c>
    </row>
    <row customHeight="1" ht="52" r="42">
      <c r="A42" s="16" t="inlineStr">
        <is>
          <t> 4.8 </t>
        </is>
      </c>
      <c r="B42" s="18" t="inlineStr">
        <is>
          <t> CIVIL.REVE.16 </t>
        </is>
      </c>
      <c r="C42" s="16" t="inlineStr">
        <is>
          <t>Próprio</t>
        </is>
      </c>
      <c r="D42" s="16" t="inlineStr">
        <is>
          <t>REVESTIMENTO CERÂMICO PARA PAREDES INTERNAS COM PLACAS TIPO PORCELANATO DE DIMENSÕES 60X60 CM APLICADA EM AMBIENTES DE ÁREA MENOR QUE 5 M². (REF. 87272/SINAPI)</t>
        </is>
      </c>
      <c r="E42" s="17" t="inlineStr">
        <is>
          <t>m²</t>
        </is>
      </c>
      <c r="F42" s="18" t="n">
        <v>55.75</v>
      </c>
      <c r="G42" s="19" t="n">
        <v>176.15</v>
      </c>
      <c r="H42" s="19" t="str">
        <f>TRUNC(G42 * (1 + 23.44 / 100), 2)</f>
      </c>
      <c r="I42" s="19" t="str">
        <f>TRUNC(F42 * h42, 2)</f>
      </c>
    </row>
    <row customHeight="1" ht="52" r="43">
      <c r="A43" s="16" t="inlineStr">
        <is>
          <t> 4.9 </t>
        </is>
      </c>
      <c r="B43" s="18" t="inlineStr">
        <is>
          <t> 87242 </t>
        </is>
      </c>
      <c r="C43" s="16" t="inlineStr">
        <is>
          <t>SINAPI</t>
        </is>
      </c>
      <c r="D43" s="16" t="inlineStr">
        <is>
          <t>REVESTIMENTO CERÂMICO PARA PAREDES EXTERNAS EM PASTILHAS DE PORCELANA 5 X 5 CM (PLACAS DE 30 X 30 CM), ALINHADAS A PRUMO, APLICADO EM PANOS COM VÃOS. AF_06/2014</t>
        </is>
      </c>
      <c r="E43" s="17" t="inlineStr">
        <is>
          <t>m²</t>
        </is>
      </c>
      <c r="F43" s="18" t="n">
        <v>39.0</v>
      </c>
      <c r="G43" s="19" t="n">
        <v>246.19</v>
      </c>
      <c r="H43" s="19" t="str">
        <f>TRUNC(G43 * (1 + 23.44 / 100), 2)</f>
      </c>
      <c r="I43" s="19" t="str">
        <f>TRUNC(F43 * h43, 2)</f>
      </c>
    </row>
    <row customHeight="1" ht="52" r="44">
      <c r="A44" s="16" t="inlineStr">
        <is>
          <t> 4.10 </t>
        </is>
      </c>
      <c r="B44" s="18" t="inlineStr">
        <is>
          <t> 87243 </t>
        </is>
      </c>
      <c r="C44" s="16" t="inlineStr">
        <is>
          <t>SINAPI</t>
        </is>
      </c>
      <c r="D44" s="16" t="inlineStr">
        <is>
          <t>REVESTIMENTO CERÂMICO PARA PAREDES EXTERNAS EM PASTILHAS DE PORCELANA 5 X 5 CM (PLACAS DE 30 X 30 CM), ALINHADAS A PRUMO, APLICADO EM PANOS SEM VÃOS. AF_06/2014</t>
        </is>
      </c>
      <c r="E44" s="17" t="inlineStr">
        <is>
          <t>m²</t>
        </is>
      </c>
      <c r="F44" s="18" t="n">
        <v>6.85</v>
      </c>
      <c r="G44" s="19" t="n">
        <v>227.3</v>
      </c>
      <c r="H44" s="19" t="str">
        <f>TRUNC(G44 * (1 + 23.44 / 100), 2)</f>
      </c>
      <c r="I44" s="19" t="str">
        <f>TRUNC(F44 * h44, 2)</f>
      </c>
    </row>
    <row customHeight="1" ht="39" r="45">
      <c r="A45" s="16" t="inlineStr">
        <is>
          <t> 4.11 </t>
        </is>
      </c>
      <c r="B45" s="18" t="inlineStr">
        <is>
          <t> ELT.00.999.027 </t>
        </is>
      </c>
      <c r="C45" s="16" t="inlineStr">
        <is>
          <t>Próprio</t>
        </is>
      </c>
      <c r="D45" s="16" t="inlineStr">
        <is>
          <t>CAPIAÇO COM ARGAMASSA DE CIMENTO E AREIA MÉDIA, TRAÇO 1:3, LARGURA DE 15 CM E ESPESSURA DE 2 CM - UTILIZADO EMALVENARIA/ESTRUTURA EXISTENTE</t>
        </is>
      </c>
      <c r="E45" s="17" t="inlineStr">
        <is>
          <t>M</t>
        </is>
      </c>
      <c r="F45" s="18" t="n">
        <v>176.0</v>
      </c>
      <c r="G45" s="19" t="n">
        <v>16.88</v>
      </c>
      <c r="H45" s="19" t="str">
        <f>TRUNC(G45 * (1 + 23.44 / 100), 2)</f>
      </c>
      <c r="I45" s="19" t="str">
        <f>TRUNC(F45 * h45, 2)</f>
      </c>
    </row>
    <row customHeight="1" ht="24" r="46">
      <c r="A46" s="8" t="inlineStr">
        <is>
          <t> 5 </t>
        </is>
      </c>
      <c r="B46" s="8"/>
      <c r="C46" s="8"/>
      <c r="D46" s="8" t="inlineStr">
        <is>
          <t>PISO E PAVIMENTAÇÃO</t>
        </is>
      </c>
      <c r="E46" s="8"/>
      <c r="F46" s="10"/>
      <c r="G46" s="8"/>
      <c r="H46" s="8"/>
      <c r="I46" s="11" t="n">
        <v>156342.05</v>
      </c>
    </row>
    <row customHeight="1" ht="39" r="47">
      <c r="A47" s="16" t="inlineStr">
        <is>
          <t> 5.1 </t>
        </is>
      </c>
      <c r="B47" s="18" t="inlineStr">
        <is>
          <t> 95240 </t>
        </is>
      </c>
      <c r="C47" s="16" t="inlineStr">
        <is>
          <t>SINAPI</t>
        </is>
      </c>
      <c r="D47" s="16" t="inlineStr">
        <is>
          <t>LASTRO DE CONCRETO MAGRO, APLICADO EM PISOS, LAJES SOBRE SOLO OU RADIERS, ESPESSURA DE 3 CM. AF_07/2016</t>
        </is>
      </c>
      <c r="E47" s="17" t="inlineStr">
        <is>
          <t>m²</t>
        </is>
      </c>
      <c r="F47" s="18" t="n">
        <v>354.71</v>
      </c>
      <c r="G47" s="19" t="n">
        <v>16.58</v>
      </c>
      <c r="H47" s="19" t="str">
        <f>TRUNC(G47 * (1 + 23.44 / 100), 2)</f>
      </c>
      <c r="I47" s="19" t="str">
        <f>TRUNC(F47 * h47, 2)</f>
      </c>
    </row>
    <row customHeight="1" ht="52" r="48">
      <c r="A48" s="16" t="inlineStr">
        <is>
          <t> 5.2 </t>
        </is>
      </c>
      <c r="B48" s="18" t="inlineStr">
        <is>
          <t> 87630 </t>
        </is>
      </c>
      <c r="C48" s="16" t="inlineStr">
        <is>
          <t>SINAPI</t>
        </is>
      </c>
      <c r="D48" s="16" t="inlineStr">
        <is>
          <t>CONTRAPISO EM ARGAMASSA TRAÇO 1:4 (CIMENTO E AREIA), PREPARO MECÂNICO COM BETONEIRA 400 L, APLICADO EM ÁREAS SECAS SOBRE LAJE, ADERIDO, ACABAMENTO NÃO REFORÇADO, ESPESSURA 3CM. AF_07/2021</t>
        </is>
      </c>
      <c r="E48" s="17" t="inlineStr">
        <is>
          <t>m²</t>
        </is>
      </c>
      <c r="F48" s="18" t="n">
        <v>540.58</v>
      </c>
      <c r="G48" s="19" t="n">
        <v>35.52</v>
      </c>
      <c r="H48" s="19" t="str">
        <f>TRUNC(G48 * (1 + 23.44 / 100), 2)</f>
      </c>
      <c r="I48" s="19" t="str">
        <f>TRUNC(F48 * h48, 2)</f>
      </c>
    </row>
    <row customHeight="1" ht="65" r="49">
      <c r="A49" s="16" t="inlineStr">
        <is>
          <t> 5.3 </t>
        </is>
      </c>
      <c r="B49" s="18" t="inlineStr">
        <is>
          <t> 104162 </t>
        </is>
      </c>
      <c r="C49" s="16" t="inlineStr">
        <is>
          <t>SINAPI</t>
        </is>
      </c>
      <c r="D49" s="16" t="inlineStr">
        <is>
          <t>PISO EM GRANILITE, MARMORITE OU GRANITINA EM AMBIENTES INTERNOS, COM ESPESSURA DE 8 MM, INCLUSO MISTURA EM BETONEIRA, COLOCAÇÃO DAS JUNTAS, APLICAÇÃO DO PISO, 4 POLIMENTOS COM POLITRIZ, ESTUCAMENTO, SELADOR E CERA. AF_06/2022</t>
        </is>
      </c>
      <c r="E49" s="17" t="inlineStr">
        <is>
          <t>m²</t>
        </is>
      </c>
      <c r="F49" s="18" t="n">
        <v>349.51</v>
      </c>
      <c r="G49" s="19" t="n">
        <v>79.4</v>
      </c>
      <c r="H49" s="19" t="str">
        <f>TRUNC(G49 * (1 + 23.44 / 100), 2)</f>
      </c>
      <c r="I49" s="19" t="str">
        <f>TRUNC(F49 * h49, 2)</f>
      </c>
    </row>
    <row customHeight="1" ht="52" r="50">
      <c r="A50" s="16" t="inlineStr">
        <is>
          <t> 5.4 </t>
        </is>
      </c>
      <c r="B50" s="18" t="inlineStr">
        <is>
          <t> 12705 </t>
        </is>
      </c>
      <c r="C50" s="16" t="inlineStr">
        <is>
          <t>ORSE</t>
        </is>
      </c>
      <c r="D50" s="16" t="inlineStr">
        <is>
          <t>Piso vinílico em manta, condutivo, dim. 2,0 x 25,00m, e = 2mm, ref. IQ OPTIMA, da Tarkett ou similar - fornecimento e instalação, exclusive regularização do piso</t>
        </is>
      </c>
      <c r="E50" s="17" t="inlineStr">
        <is>
          <t>m²</t>
        </is>
      </c>
      <c r="F50" s="18" t="n">
        <v>51.15</v>
      </c>
      <c r="G50" s="19" t="n">
        <v>452.01</v>
      </c>
      <c r="H50" s="19" t="str">
        <f>TRUNC(G50 * (1 + 23.44 / 100), 2)</f>
      </c>
      <c r="I50" s="19" t="str">
        <f>TRUNC(F50 * h50, 2)</f>
      </c>
    </row>
    <row customHeight="1" ht="39" r="51">
      <c r="A51" s="16" t="inlineStr">
        <is>
          <t> 5.5 </t>
        </is>
      </c>
      <c r="B51" s="18" t="inlineStr">
        <is>
          <t> 87261 </t>
        </is>
      </c>
      <c r="C51" s="16" t="inlineStr">
        <is>
          <t>SINAPI</t>
        </is>
      </c>
      <c r="D51" s="16" t="inlineStr">
        <is>
          <t>REVESTIMENTO CERÂMICO PARA PISO COM PLACAS TIPO PORCELANATO DE DIMENSÕES 60X60 CM APLICADA EM AMBIENTES DE ÁREA MENOR QUE 5 M². AF_06/2014</t>
        </is>
      </c>
      <c r="E51" s="17" t="inlineStr">
        <is>
          <t>m²</t>
        </is>
      </c>
      <c r="F51" s="18" t="n">
        <v>8.97</v>
      </c>
      <c r="G51" s="19" t="n">
        <v>184.15</v>
      </c>
      <c r="H51" s="19" t="str">
        <f>TRUNC(G51 * (1 + 23.44 / 100), 2)</f>
      </c>
      <c r="I51" s="19" t="str">
        <f>TRUNC(F51 * h51, 2)</f>
      </c>
    </row>
    <row customHeight="1" ht="39" r="52">
      <c r="A52" s="16" t="inlineStr">
        <is>
          <t> 5.6 </t>
        </is>
      </c>
      <c r="B52" s="18" t="inlineStr">
        <is>
          <t> CIVIL.REVE.22 </t>
        </is>
      </c>
      <c r="C52" s="16" t="inlineStr">
        <is>
          <t>Próprio</t>
        </is>
      </c>
      <c r="D52" s="16" t="inlineStr">
        <is>
          <t>Piso vinílico autoportante acústico com e=4,5 mm, classe III A; ref. linha Square Acoustic da Tarkett ou equivalente (REF. 101727 SINAPI)</t>
        </is>
      </c>
      <c r="E52" s="17" t="inlineStr">
        <is>
          <t>m²</t>
        </is>
      </c>
      <c r="F52" s="18" t="n">
        <v>81.24</v>
      </c>
      <c r="G52" s="19" t="n">
        <v>524.6</v>
      </c>
      <c r="H52" s="19" t="str">
        <f>TRUNC(G52 * (1 + 23.44 / 100), 2)</f>
      </c>
      <c r="I52" s="19" t="str">
        <f>TRUNC(F52 * h52, 2)</f>
      </c>
    </row>
    <row customHeight="1" ht="24" r="53">
      <c r="A53" s="16" t="inlineStr">
        <is>
          <t> 5.7 </t>
        </is>
      </c>
      <c r="B53" s="18" t="inlineStr">
        <is>
          <t> 11233 </t>
        </is>
      </c>
      <c r="C53" s="16" t="inlineStr">
        <is>
          <t>ORSE</t>
        </is>
      </c>
      <c r="D53" s="16" t="inlineStr">
        <is>
          <t>Rodapé alta resistência, h = 10 cm, meia-cana</t>
        </is>
      </c>
      <c r="E53" s="17" t="inlineStr">
        <is>
          <t>m</t>
        </is>
      </c>
      <c r="F53" s="18" t="n">
        <v>260.81</v>
      </c>
      <c r="G53" s="19" t="n">
        <v>20.18</v>
      </c>
      <c r="H53" s="19" t="str">
        <f>TRUNC(G53 * (1 + 23.44 / 100), 2)</f>
      </c>
      <c r="I53" s="19" t="str">
        <f>TRUNC(F53 * h53, 2)</f>
      </c>
    </row>
    <row customHeight="1" ht="24" r="54">
      <c r="A54" s="16" t="inlineStr">
        <is>
          <t> 5.8 </t>
        </is>
      </c>
      <c r="B54" s="18" t="inlineStr">
        <is>
          <t> 130302 </t>
        </is>
      </c>
      <c r="C54" s="16" t="inlineStr">
        <is>
          <t>SBC</t>
        </is>
      </c>
      <c r="D54" s="16" t="inlineStr">
        <is>
          <t>RODAPE 7,5CM VINILICO CURVO FADEMAC</t>
        </is>
      </c>
      <c r="E54" s="17" t="inlineStr">
        <is>
          <t>m²</t>
        </is>
      </c>
      <c r="F54" s="18" t="n">
        <v>51.68</v>
      </c>
      <c r="G54" s="19" t="n">
        <v>22.69</v>
      </c>
      <c r="H54" s="19" t="str">
        <f>TRUNC(G54 * (1 + 23.44 / 100), 2)</f>
      </c>
      <c r="I54" s="19" t="str">
        <f>TRUNC(F54 * h54, 2)</f>
      </c>
    </row>
    <row customHeight="1" ht="24" r="55">
      <c r="A55" s="8" t="inlineStr">
        <is>
          <t> 6 </t>
        </is>
      </c>
      <c r="B55" s="8"/>
      <c r="C55" s="8"/>
      <c r="D55" s="8" t="inlineStr">
        <is>
          <t>FORRO</t>
        </is>
      </c>
      <c r="E55" s="8"/>
      <c r="F55" s="10"/>
      <c r="G55" s="8"/>
      <c r="H55" s="8"/>
      <c r="I55" s="11" t="n">
        <v>21912.4</v>
      </c>
    </row>
    <row customHeight="1" ht="26" r="56">
      <c r="A56" s="16" t="inlineStr">
        <is>
          <t> 6.1 </t>
        </is>
      </c>
      <c r="B56" s="18" t="inlineStr">
        <is>
          <t> 96113 </t>
        </is>
      </c>
      <c r="C56" s="16" t="inlineStr">
        <is>
          <t>SINAPI</t>
        </is>
      </c>
      <c r="D56" s="16" t="inlineStr">
        <is>
          <t>FORRO EM PLACAS DE GESSO, PARA AMBIENTES COMERCIAIS. AF_05/2017_P</t>
        </is>
      </c>
      <c r="E56" s="17" t="inlineStr">
        <is>
          <t>m²</t>
        </is>
      </c>
      <c r="F56" s="18" t="n">
        <v>261.99</v>
      </c>
      <c r="G56" s="19" t="n">
        <v>32.68</v>
      </c>
      <c r="H56" s="19" t="str">
        <f>TRUNC(G56 * (1 + 23.44 / 100), 2)</f>
      </c>
      <c r="I56" s="19" t="str">
        <f>TRUNC(F56 * h56, 2)</f>
      </c>
    </row>
    <row customHeight="1" ht="65" r="57">
      <c r="A57" s="16" t="inlineStr">
        <is>
          <t> 6.2 </t>
        </is>
      </c>
      <c r="B57" s="18" t="inlineStr">
        <is>
          <t> 12023 </t>
        </is>
      </c>
      <c r="C57" s="16" t="inlineStr">
        <is>
          <t>ORSE</t>
        </is>
      </c>
      <c r="D57" s="16" t="inlineStr">
        <is>
          <t>Forro acústico em placas de fibra mineral dim.1200x600x16mm,  absorção sonora NRC = 0,55, reflexão luz = 0,79, marca Armstrong, ref. Clean Room, ou similar, resist. fogo: classe A, instalado inclusive sobre perfís metálicos</t>
        </is>
      </c>
      <c r="E57" s="17" t="inlineStr">
        <is>
          <t>m²</t>
        </is>
      </c>
      <c r="F57" s="18" t="n">
        <v>96.74</v>
      </c>
      <c r="G57" s="19" t="n">
        <v>95.0</v>
      </c>
      <c r="H57" s="19" t="str">
        <f>TRUNC(G57 * (1 + 23.44 / 100), 2)</f>
      </c>
      <c r="I57" s="19" t="str">
        <f>TRUNC(F57 * h57, 2)</f>
      </c>
    </row>
    <row customHeight="1" ht="24" r="58">
      <c r="A58" s="8" t="inlineStr">
        <is>
          <t> 7 </t>
        </is>
      </c>
      <c r="B58" s="8"/>
      <c r="C58" s="8"/>
      <c r="D58" s="8" t="inlineStr">
        <is>
          <t>VIDROS</t>
        </is>
      </c>
      <c r="E58" s="8"/>
      <c r="F58" s="10"/>
      <c r="G58" s="8"/>
      <c r="H58" s="8"/>
      <c r="I58" s="11" t="n">
        <v>2923.36</v>
      </c>
    </row>
    <row customHeight="1" ht="26" r="59">
      <c r="A59" s="16" t="inlineStr">
        <is>
          <t> 7.1 </t>
        </is>
      </c>
      <c r="B59" s="18" t="inlineStr">
        <is>
          <t> 85005 </t>
        </is>
      </c>
      <c r="C59" s="16" t="inlineStr">
        <is>
          <t>SINAPI</t>
        </is>
      </c>
      <c r="D59" s="16" t="inlineStr">
        <is>
          <t>ESPELHO CRISTAL, ESPESSURA 4MM, COM PARAFUSOS DE FIXACAO, SEM MOLDURA</t>
        </is>
      </c>
      <c r="E59" s="17" t="inlineStr">
        <is>
          <t>m²</t>
        </is>
      </c>
      <c r="F59" s="18" t="n">
        <v>4.03</v>
      </c>
      <c r="G59" s="19" t="n">
        <v>587.66</v>
      </c>
      <c r="H59" s="19" t="str">
        <f>TRUNC(G59 * (1 + 23.44 / 100), 2)</f>
      </c>
      <c r="I59" s="19" t="str">
        <f>TRUNC(F59 * h59, 2)</f>
      </c>
    </row>
    <row customHeight="1" ht="24" r="60">
      <c r="A60" s="8" t="inlineStr">
        <is>
          <t> 8 </t>
        </is>
      </c>
      <c r="B60" s="8"/>
      <c r="C60" s="8"/>
      <c r="D60" s="8" t="inlineStr">
        <is>
          <t>BANCADAS, LOUÇAS, METAIS E ACESSÓRIOS</t>
        </is>
      </c>
      <c r="E60" s="8"/>
      <c r="F60" s="10"/>
      <c r="G60" s="8"/>
      <c r="H60" s="8"/>
      <c r="I60" s="11" t="n">
        <v>35848.96</v>
      </c>
    </row>
    <row customHeight="1" ht="39" r="61">
      <c r="A61" s="16" t="inlineStr">
        <is>
          <t> 8.1 </t>
        </is>
      </c>
      <c r="B61" s="18" t="inlineStr">
        <is>
          <t> CIVIL.INHI.13 </t>
        </is>
      </c>
      <c r="C61" s="16" t="inlineStr">
        <is>
          <t>Próprio</t>
        </is>
      </c>
      <c r="D61" s="16" t="inlineStr">
        <is>
          <t>Lavatório louça sem coluna, c/ sifão cromado, válvula cromada, engate cromado, exclusive torneira (Ref.: 2089/ORSE)</t>
        </is>
      </c>
      <c r="E61" s="17" t="inlineStr">
        <is>
          <t>un</t>
        </is>
      </c>
      <c r="F61" s="18" t="n">
        <v>6.0</v>
      </c>
      <c r="G61" s="19" t="n">
        <v>482.05</v>
      </c>
      <c r="H61" s="19" t="str">
        <f>TRUNC(G61 * (1 + 23.44 / 100), 2)</f>
      </c>
      <c r="I61" s="19" t="str">
        <f>TRUNC(F61 * h61, 2)</f>
      </c>
    </row>
    <row customHeight="1" ht="39" r="62">
      <c r="A62" s="16" t="inlineStr">
        <is>
          <t> 8.2 </t>
        </is>
      </c>
      <c r="B62" s="18" t="inlineStr">
        <is>
          <t> 86915 </t>
        </is>
      </c>
      <c r="C62" s="16" t="inlineStr">
        <is>
          <t>SINAPI</t>
        </is>
      </c>
      <c r="D62" s="16" t="inlineStr">
        <is>
          <t>TORNEIRA CROMADA DE MESA, 1/2 OU 3/4, PARA LAVATÓRIO, PADRÃO MÉDIO - FORNECIMENTO E INSTALAÇÃO. AF_01/2020</t>
        </is>
      </c>
      <c r="E62" s="17" t="inlineStr">
        <is>
          <t>UN</t>
        </is>
      </c>
      <c r="F62" s="18" t="n">
        <v>8.0</v>
      </c>
      <c r="G62" s="19" t="n">
        <v>129.47</v>
      </c>
      <c r="H62" s="19" t="str">
        <f>TRUNC(G62 * (1 + 23.44 / 100), 2)</f>
      </c>
      <c r="I62" s="19" t="str">
        <f>TRUNC(F62 * h62, 2)</f>
      </c>
    </row>
    <row customHeight="1" ht="39" r="63">
      <c r="A63" s="16" t="inlineStr">
        <is>
          <t> 8.3 </t>
        </is>
      </c>
      <c r="B63" s="18" t="inlineStr">
        <is>
          <t> 86909 </t>
        </is>
      </c>
      <c r="C63" s="16" t="inlineStr">
        <is>
          <t>SINAPI</t>
        </is>
      </c>
      <c r="D63" s="16" t="inlineStr">
        <is>
          <t>TORNEIRA CROMADA TUBO MÓVEL, DE MESA, 1/2 OU 3/4, PARA PIA DE COZINHA, PADRÃO ALTO - FORNECIMENTO E INSTALAÇÃO. AF_01/2020</t>
        </is>
      </c>
      <c r="E63" s="17" t="inlineStr">
        <is>
          <t>UN</t>
        </is>
      </c>
      <c r="F63" s="18" t="n">
        <v>4.0</v>
      </c>
      <c r="G63" s="19" t="n">
        <v>117.09</v>
      </c>
      <c r="H63" s="19" t="str">
        <f>TRUNC(G63 * (1 + 23.44 / 100), 2)</f>
      </c>
      <c r="I63" s="19" t="str">
        <f>TRUNC(F63 * h63, 2)</f>
      </c>
    </row>
    <row customHeight="1" ht="26" r="64">
      <c r="A64" s="16" t="inlineStr">
        <is>
          <t> 8.4 </t>
        </is>
      </c>
      <c r="B64" s="18" t="inlineStr">
        <is>
          <t> CIVIL.INHI.12 </t>
        </is>
      </c>
      <c r="C64" s="16" t="inlineStr">
        <is>
          <t>Próprio</t>
        </is>
      </c>
      <c r="D64" s="16" t="inlineStr">
        <is>
          <t>BACIA SANITÁRIA COM CAIXA ACOPLADA PARA PCD, FORNECIMENTO E INSTALAÇÃO</t>
        </is>
      </c>
      <c r="E64" s="17" t="inlineStr">
        <is>
          <t>UN</t>
        </is>
      </c>
      <c r="F64" s="18" t="n">
        <v>3.0</v>
      </c>
      <c r="G64" s="19" t="n">
        <v>784.09</v>
      </c>
      <c r="H64" s="19" t="str">
        <f>TRUNC(G64 * (1 + 23.44 / 100), 2)</f>
      </c>
      <c r="I64" s="19" t="str">
        <f>TRUNC(F64 * h64, 2)</f>
      </c>
    </row>
    <row customHeight="1" ht="26" r="65">
      <c r="A65" s="16" t="inlineStr">
        <is>
          <t> 8.5 </t>
        </is>
      </c>
      <c r="B65" s="18" t="inlineStr">
        <is>
          <t> CIVIL.INHI.18 </t>
        </is>
      </c>
      <c r="C65" s="16" t="inlineStr">
        <is>
          <t>Próprio</t>
        </is>
      </c>
      <c r="D65" s="16" t="inlineStr">
        <is>
          <t>Assento plastico, universal, branco, para vaso sanitario, tipo convencional. (Ref.: 2066/ORSE)</t>
        </is>
      </c>
      <c r="E65" s="17" t="inlineStr">
        <is>
          <t>un</t>
        </is>
      </c>
      <c r="F65" s="18" t="n">
        <v>3.0</v>
      </c>
      <c r="G65" s="19" t="n">
        <v>53.77</v>
      </c>
      <c r="H65" s="19" t="str">
        <f>TRUNC(G65 * (1 + 23.44 / 100), 2)</f>
      </c>
      <c r="I65" s="19" t="str">
        <f>TRUNC(F65 * h65, 2)</f>
      </c>
    </row>
    <row customHeight="1" ht="26" r="66">
      <c r="A66" s="16" t="inlineStr">
        <is>
          <t> 8.6 </t>
        </is>
      </c>
      <c r="B66" s="18" t="inlineStr">
        <is>
          <t> CIVIL.INHI.30 </t>
        </is>
      </c>
      <c r="C66" s="16" t="inlineStr">
        <is>
          <t>Próprio</t>
        </is>
      </c>
      <c r="D66" s="16" t="inlineStr">
        <is>
          <t>Barra de apoio, reta, fixa, em aço inox, l=40cm, d=1 1/4", Jackwal ou similar (REF. 13110/ORSE)</t>
        </is>
      </c>
      <c r="E66" s="17" t="inlineStr">
        <is>
          <t>un</t>
        </is>
      </c>
      <c r="F66" s="18" t="n">
        <v>3.0</v>
      </c>
      <c r="G66" s="19" t="n">
        <v>111.01</v>
      </c>
      <c r="H66" s="19" t="str">
        <f>TRUNC(G66 * (1 + 23.44 / 100), 2)</f>
      </c>
      <c r="I66" s="19" t="str">
        <f>TRUNC(F66 * h66, 2)</f>
      </c>
    </row>
    <row customHeight="1" ht="39" r="67">
      <c r="A67" s="16" t="inlineStr">
        <is>
          <t> 8.7 </t>
        </is>
      </c>
      <c r="B67" s="18" t="inlineStr">
        <is>
          <t> 100867 </t>
        </is>
      </c>
      <c r="C67" s="16" t="inlineStr">
        <is>
          <t>SINAPI</t>
        </is>
      </c>
      <c r="D67" s="16" t="inlineStr">
        <is>
          <t>BARRA DE APOIO RETA, EM ACO INOX POLIDO, COMPRIMENTO 70 CM,  FIXADA NA PAREDE - FORNECIMENTO E INSTALAÇÃO. AF_01/2020</t>
        </is>
      </c>
      <c r="E67" s="17" t="inlineStr">
        <is>
          <t>UN</t>
        </is>
      </c>
      <c r="F67" s="18" t="n">
        <v>3.0</v>
      </c>
      <c r="G67" s="19" t="n">
        <v>344.78</v>
      </c>
      <c r="H67" s="19" t="str">
        <f>TRUNC(G67 * (1 + 23.44 / 100), 2)</f>
      </c>
      <c r="I67" s="19" t="str">
        <f>TRUNC(F67 * h67, 2)</f>
      </c>
    </row>
    <row customHeight="1" ht="39" r="68">
      <c r="A68" s="16" t="inlineStr">
        <is>
          <t> 8.8 </t>
        </is>
      </c>
      <c r="B68" s="18" t="inlineStr">
        <is>
          <t> 100868 </t>
        </is>
      </c>
      <c r="C68" s="16" t="inlineStr">
        <is>
          <t>SINAPI</t>
        </is>
      </c>
      <c r="D68" s="16" t="inlineStr">
        <is>
          <t>BARRA DE APOIO RETA, EM ACO INOX POLIDO, COMPRIMENTO 80 CM,  FIXADA NA PAREDE - FORNECIMENTO E INSTALAÇÃO. AF_01/2020</t>
        </is>
      </c>
      <c r="E68" s="17" t="inlineStr">
        <is>
          <t>UN</t>
        </is>
      </c>
      <c r="F68" s="18" t="n">
        <v>6.0</v>
      </c>
      <c r="G68" s="19" t="n">
        <v>358.62</v>
      </c>
      <c r="H68" s="19" t="str">
        <f>TRUNC(G68 * (1 + 23.44 / 100), 2)</f>
      </c>
      <c r="I68" s="19" t="str">
        <f>TRUNC(F68 * h68, 2)</f>
      </c>
    </row>
    <row customHeight="1" ht="39" r="69">
      <c r="A69" s="16" t="inlineStr">
        <is>
          <t> 8.9 </t>
        </is>
      </c>
      <c r="B69" s="18" t="inlineStr">
        <is>
          <t> CIVIL.INHI.19 </t>
        </is>
      </c>
      <c r="C69" s="16" t="inlineStr">
        <is>
          <t>Próprio</t>
        </is>
      </c>
      <c r="D69" s="16" t="inlineStr">
        <is>
          <t>Barra de apoio, para lavatório,fixa, constituida de duas barras laterais em "U", em aço inox, d=1 1/4", Jackwal ou similar (Ref.: 12128/ORSE)</t>
        </is>
      </c>
      <c r="E69" s="17" t="inlineStr">
        <is>
          <t>un</t>
        </is>
      </c>
      <c r="F69" s="18" t="n">
        <v>3.0</v>
      </c>
      <c r="G69" s="19" t="n">
        <v>390.75</v>
      </c>
      <c r="H69" s="19" t="str">
        <f>TRUNC(G69 * (1 + 23.44 / 100), 2)</f>
      </c>
      <c r="I69" s="19" t="str">
        <f>TRUNC(F69 * h69, 2)</f>
      </c>
    </row>
    <row customHeight="1" ht="26" r="70">
      <c r="A70" s="16" t="inlineStr">
        <is>
          <t> 8.10 </t>
        </is>
      </c>
      <c r="B70" s="18" t="inlineStr">
        <is>
          <t> CIVIL.INHI.22 </t>
        </is>
      </c>
      <c r="C70" s="16" t="inlineStr">
        <is>
          <t>Próprio</t>
        </is>
      </c>
      <c r="D70" s="16" t="inlineStr">
        <is>
          <t>Porta-papel higiênico, linha Domus, ref. 102 C40, da Meber ou similar (Ref.: 7611/ORSE)</t>
        </is>
      </c>
      <c r="E70" s="17" t="inlineStr">
        <is>
          <t>UN</t>
        </is>
      </c>
      <c r="F70" s="18" t="n">
        <v>3.0</v>
      </c>
      <c r="G70" s="19" t="n">
        <v>77.59</v>
      </c>
      <c r="H70" s="19" t="str">
        <f>TRUNC(G70 * (1 + 23.44 / 100), 2)</f>
      </c>
      <c r="I70" s="19" t="str">
        <f>TRUNC(F70 * h70, 2)</f>
      </c>
    </row>
    <row customHeight="1" ht="65" r="71">
      <c r="A71" s="16" t="inlineStr">
        <is>
          <t> 8.11 </t>
        </is>
      </c>
      <c r="B71" s="18" t="inlineStr">
        <is>
          <t> CIVIL.INHI.23 </t>
        </is>
      </c>
      <c r="C71" s="16" t="inlineStr">
        <is>
          <t>Próprio</t>
        </is>
      </c>
      <c r="D71" s="16" t="inlineStr">
        <is>
          <t>Porta papel toalha para papel interfolha 2 ou 3 dobras, injetado com a frente em plástico ABS branco, com visor frontal para controle de substituição do papel interfolha e fundo em Plástico ABS cinza. (Ref.: 12208/ORSE)</t>
        </is>
      </c>
      <c r="E71" s="17" t="inlineStr">
        <is>
          <t>UN</t>
        </is>
      </c>
      <c r="F71" s="18" t="n">
        <v>10.0</v>
      </c>
      <c r="G71" s="19" t="n">
        <v>122.55</v>
      </c>
      <c r="H71" s="19" t="str">
        <f>TRUNC(G71 * (1 + 23.44 / 100), 2)</f>
      </c>
      <c r="I71" s="19" t="str">
        <f>TRUNC(F71 * h71, 2)</f>
      </c>
    </row>
    <row customHeight="1" ht="24" r="72">
      <c r="A72" s="16" t="inlineStr">
        <is>
          <t> 8.12 </t>
        </is>
      </c>
      <c r="B72" s="18" t="inlineStr">
        <is>
          <t> 190007 </t>
        </is>
      </c>
      <c r="C72" s="16" t="inlineStr">
        <is>
          <t>SBC</t>
        </is>
      </c>
      <c r="D72" s="16" t="inlineStr">
        <is>
          <t>CABIDE METALICO 1 GANCHO UNIVERSAL PRATA</t>
        </is>
      </c>
      <c r="E72" s="17" t="inlineStr">
        <is>
          <t>UN</t>
        </is>
      </c>
      <c r="F72" s="18" t="n">
        <v>4.0</v>
      </c>
      <c r="G72" s="19" t="n">
        <v>57.17</v>
      </c>
      <c r="H72" s="19" t="str">
        <f>TRUNC(G72 * (1 + 23.44 / 100), 2)</f>
      </c>
      <c r="I72" s="19" t="str">
        <f>TRUNC(F72 * h72, 2)</f>
      </c>
    </row>
    <row customHeight="1" ht="39" r="73">
      <c r="A73" s="16" t="inlineStr">
        <is>
          <t> 8.13 </t>
        </is>
      </c>
      <c r="B73" s="18" t="inlineStr">
        <is>
          <t> 95547 </t>
        </is>
      </c>
      <c r="C73" s="16" t="inlineStr">
        <is>
          <t>SINAPI</t>
        </is>
      </c>
      <c r="D73" s="16" t="inlineStr">
        <is>
          <t>SABONETEIRA PLASTICA TIPO DISPENSER PARA SABONETE LIQUIDO COM RESERVATORIO 800 A 1500 ML, INCLUSO FIXAÇÃO. AF_01/2020</t>
        </is>
      </c>
      <c r="E73" s="17" t="inlineStr">
        <is>
          <t>UN</t>
        </is>
      </c>
      <c r="F73" s="18" t="n">
        <v>11.0</v>
      </c>
      <c r="G73" s="19" t="n">
        <v>97.84</v>
      </c>
      <c r="H73" s="19" t="str">
        <f>TRUNC(G73 * (1 + 23.44 / 100), 2)</f>
      </c>
      <c r="I73" s="19" t="str">
        <f>TRUNC(F73 * h73, 2)</f>
      </c>
    </row>
    <row customHeight="1" ht="26" r="74">
      <c r="A74" s="16" t="inlineStr">
        <is>
          <t> 8.14 </t>
        </is>
      </c>
      <c r="B74" s="18" t="inlineStr">
        <is>
          <t> CIVIL.INHI.35 </t>
        </is>
      </c>
      <c r="C74" s="16" t="inlineStr">
        <is>
          <t>Próprio</t>
        </is>
      </c>
      <c r="D74" s="16" t="inlineStr">
        <is>
          <t>Bancada em granito verde ubatuba, e = 2cm (REF. 11150/ORSE)</t>
        </is>
      </c>
      <c r="E74" s="17" t="inlineStr">
        <is>
          <t>m²</t>
        </is>
      </c>
      <c r="F74" s="18" t="n">
        <v>12.22</v>
      </c>
      <c r="G74" s="19" t="n">
        <v>569.91</v>
      </c>
      <c r="H74" s="19" t="str">
        <f>TRUNC(G74 * (1 + 23.44 / 100), 2)</f>
      </c>
      <c r="I74" s="19" t="str">
        <f>TRUNC(F74 * h74, 2)</f>
      </c>
    </row>
    <row customHeight="1" ht="39" r="75">
      <c r="A75" s="16" t="inlineStr">
        <is>
          <t> 8.15 </t>
        </is>
      </c>
      <c r="B75" s="18" t="inlineStr">
        <is>
          <t> CIVIL.INHI.37 </t>
        </is>
      </c>
      <c r="C75" s="16" t="inlineStr">
        <is>
          <t>Próprio</t>
        </is>
      </c>
      <c r="D75" s="16" t="inlineStr">
        <is>
          <t>TESTEIRA EM GRANITO VERDE UBATUBA POLIDO, ALTURA 13CM, ESPESSURA 2CM, APLICADA COM ARGAMASSA INDUSTRIALIZADA AC-I. (REF. 11360/ORSE)</t>
        </is>
      </c>
      <c r="E75" s="17" t="inlineStr">
        <is>
          <t>m</t>
        </is>
      </c>
      <c r="F75" s="18" t="n">
        <v>22.57</v>
      </c>
      <c r="G75" s="19" t="n">
        <v>63.36</v>
      </c>
      <c r="H75" s="19" t="str">
        <f>TRUNC(G75 * (1 + 23.44 / 100), 2)</f>
      </c>
      <c r="I75" s="19" t="str">
        <f>TRUNC(F75 * h75, 2)</f>
      </c>
    </row>
    <row customHeight="1" ht="39" r="76">
      <c r="A76" s="16" t="inlineStr">
        <is>
          <t> 8.16 </t>
        </is>
      </c>
      <c r="B76" s="18" t="inlineStr">
        <is>
          <t> CIVIL.INHI.36 </t>
        </is>
      </c>
      <c r="C76" s="16" t="inlineStr">
        <is>
          <t>Próprio</t>
        </is>
      </c>
      <c r="D76" s="16" t="inlineStr">
        <is>
          <t>RESPALDO EM GRANITO VERDE UBATUBA POLIDO, ALTURA 15CM, ESPESSURA 2CM, APLICADA COM ARGAMASSA INDUSTRIALIZADA AC-I. (REF. 11360/ORSE)</t>
        </is>
      </c>
      <c r="E76" s="17" t="inlineStr">
        <is>
          <t>m</t>
        </is>
      </c>
      <c r="F76" s="18" t="n">
        <v>27.27</v>
      </c>
      <c r="G76" s="19" t="n">
        <v>74.96</v>
      </c>
      <c r="H76" s="19" t="str">
        <f>TRUNC(G76 * (1 + 23.44 / 100), 2)</f>
      </c>
      <c r="I76" s="19" t="str">
        <f>TRUNC(F76 * h76, 2)</f>
      </c>
    </row>
    <row customHeight="1" ht="65" r="77">
      <c r="A77" s="16" t="inlineStr">
        <is>
          <t> 8.17 </t>
        </is>
      </c>
      <c r="B77" s="18" t="inlineStr">
        <is>
          <t> CIVIL.INHI.75 </t>
        </is>
      </c>
      <c r="C77" s="16" t="inlineStr">
        <is>
          <t>Próprio</t>
        </is>
      </c>
      <c r="D77" s="16" t="inlineStr">
        <is>
          <t>Cuba de aço inox 304, dimensões 35 x 40cm, para instalação em bancada, c/ válvula cromada (deca ref 1623), sifão  cromado (deca ref c1680), torneira cromada (deca linha c40 ref 1159) e engate de plástico ou similares - Rev 02 (ref. 2020/orse)</t>
        </is>
      </c>
      <c r="E77" s="17" t="inlineStr">
        <is>
          <t>un</t>
        </is>
      </c>
      <c r="F77" s="18" t="n">
        <v>5.0</v>
      </c>
      <c r="G77" s="19" t="n">
        <v>517.12</v>
      </c>
      <c r="H77" s="19" t="str">
        <f>TRUNC(G77 * (1 + 23.44 / 100), 2)</f>
      </c>
      <c r="I77" s="19" t="str">
        <f>TRUNC(F77 * h77, 2)</f>
      </c>
    </row>
    <row customHeight="1" ht="39" r="78">
      <c r="A78" s="16" t="inlineStr">
        <is>
          <t> 8.18 </t>
        </is>
      </c>
      <c r="B78" s="18" t="inlineStr">
        <is>
          <t> 86900 </t>
        </is>
      </c>
      <c r="C78" s="16" t="inlineStr">
        <is>
          <t>SINAPI</t>
        </is>
      </c>
      <c r="D78" s="16" t="inlineStr">
        <is>
          <t>CUBA DE EMBUTIR RETANGULAR DE AÇO INOXIDÁVEL, 46 X 30 X 12 CM - FORNECIMENTO E INSTALAÇÃO. AF_01/2020</t>
        </is>
      </c>
      <c r="E78" s="17" t="inlineStr">
        <is>
          <t>UN</t>
        </is>
      </c>
      <c r="F78" s="18" t="n">
        <v>4.0</v>
      </c>
      <c r="G78" s="19" t="n">
        <v>226.86</v>
      </c>
      <c r="H78" s="19" t="str">
        <f>TRUNC(G78 * (1 + 23.44 / 100), 2)</f>
      </c>
      <c r="I78" s="19" t="str">
        <f>TRUNC(F78 * h78, 2)</f>
      </c>
    </row>
    <row customHeight="1" ht="52" r="79">
      <c r="A79" s="16" t="inlineStr">
        <is>
          <t> 8.19 </t>
        </is>
      </c>
      <c r="B79" s="18" t="inlineStr">
        <is>
          <t> 86938 </t>
        </is>
      </c>
      <c r="C79" s="16" t="inlineStr">
        <is>
          <t>SINAPI</t>
        </is>
      </c>
      <c r="D79" s="16" t="inlineStr">
        <is>
          <t>CUBA DE EMBUTIR OVAL EM LOUÇA BRANCA, 35 X 50CM OU EQUIVALENTE, INCLUSO VÁLVULA E SIFÃO TIPO GARRAFA EM METAL CROMADO - FORNECIMENTO E INSTALAÇÃO. AF_01/2020</t>
        </is>
      </c>
      <c r="E79" s="17" t="inlineStr">
        <is>
          <t>UN</t>
        </is>
      </c>
      <c r="F79" s="18" t="n">
        <v>2.0</v>
      </c>
      <c r="G79" s="19" t="n">
        <v>372.96</v>
      </c>
      <c r="H79" s="19" t="str">
        <f>TRUNC(G79 * (1 + 23.44 / 100), 2)</f>
      </c>
      <c r="I79" s="19" t="str">
        <f>TRUNC(F79 * h79, 2)</f>
      </c>
    </row>
    <row customHeight="1" ht="24" r="80">
      <c r="A80" s="8" t="inlineStr">
        <is>
          <t> 9 </t>
        </is>
      </c>
      <c r="B80" s="8"/>
      <c r="C80" s="8"/>
      <c r="D80" s="8" t="inlineStr">
        <is>
          <t>PINTURA</t>
        </is>
      </c>
      <c r="E80" s="8"/>
      <c r="F80" s="10"/>
      <c r="G80" s="8"/>
      <c r="H80" s="8"/>
      <c r="I80" s="11" t="n">
        <v>47342.98</v>
      </c>
    </row>
    <row customHeight="1" ht="26" r="81">
      <c r="A81" s="16" t="inlineStr">
        <is>
          <t> 9.1 </t>
        </is>
      </c>
      <c r="B81" s="18" t="inlineStr">
        <is>
          <t> 88485 </t>
        </is>
      </c>
      <c r="C81" s="16" t="inlineStr">
        <is>
          <t>SINAPI</t>
        </is>
      </c>
      <c r="D81" s="16" t="inlineStr">
        <is>
          <t>APLICAÇÃO DE FUNDO SELADOR ACRÍLICO EM PAREDES, UMA DEMÃO. AF_06/2014</t>
        </is>
      </c>
      <c r="E81" s="17" t="inlineStr">
        <is>
          <t>m²</t>
        </is>
      </c>
      <c r="F81" s="18" t="n">
        <v>670.81</v>
      </c>
      <c r="G81" s="19" t="n">
        <v>3.47</v>
      </c>
      <c r="H81" s="19" t="str">
        <f>TRUNC(G81 * (1 + 23.44 / 100), 2)</f>
      </c>
      <c r="I81" s="19" t="str">
        <f>TRUNC(F81 * h81, 2)</f>
      </c>
    </row>
    <row customHeight="1" ht="26" r="82">
      <c r="A82" s="16" t="inlineStr">
        <is>
          <t> 9.2 </t>
        </is>
      </c>
      <c r="B82" s="18" t="inlineStr">
        <is>
          <t> 88497 </t>
        </is>
      </c>
      <c r="C82" s="16" t="inlineStr">
        <is>
          <t>SINAPI</t>
        </is>
      </c>
      <c r="D82" s="16" t="inlineStr">
        <is>
          <t>APLICAÇÃO E LIXAMENTO DE MASSA LÁTEX EM PAREDES, DUAS DEMÃOS. AF_06/2014</t>
        </is>
      </c>
      <c r="E82" s="17" t="inlineStr">
        <is>
          <t>m²</t>
        </is>
      </c>
      <c r="F82" s="18" t="n">
        <v>768.02</v>
      </c>
      <c r="G82" s="19" t="n">
        <v>13.86</v>
      </c>
      <c r="H82" s="19" t="str">
        <f>TRUNC(G82 * (1 + 23.44 / 100), 2)</f>
      </c>
      <c r="I82" s="19" t="str">
        <f>TRUNC(F82 * h82, 2)</f>
      </c>
    </row>
    <row customHeight="1" ht="26" r="83">
      <c r="A83" s="16" t="inlineStr">
        <is>
          <t> 9.3 </t>
        </is>
      </c>
      <c r="B83" s="18" t="inlineStr">
        <is>
          <t> 88489 </t>
        </is>
      </c>
      <c r="C83" s="16" t="inlineStr">
        <is>
          <t>SINAPI</t>
        </is>
      </c>
      <c r="D83" s="16" t="inlineStr">
        <is>
          <t>APLICAÇÃO MANUAL DE PINTURA COM TINTA LÁTEX ACRÍLICA EM PAREDES, DUAS DEMÃOS. AF_06/2014</t>
        </is>
      </c>
      <c r="E83" s="17" t="inlineStr">
        <is>
          <t>m²</t>
        </is>
      </c>
      <c r="F83" s="18" t="n">
        <v>1256.11</v>
      </c>
      <c r="G83" s="19" t="n">
        <v>8.69</v>
      </c>
      <c r="H83" s="19" t="str">
        <f>TRUNC(G83 * (1 + 23.44 / 100), 2)</f>
      </c>
      <c r="I83" s="19" t="str">
        <f>TRUNC(F83 * h83, 2)</f>
      </c>
    </row>
    <row customHeight="1" ht="26" r="84">
      <c r="A84" s="16" t="inlineStr">
        <is>
          <t> 9.4 </t>
        </is>
      </c>
      <c r="B84" s="18" t="inlineStr">
        <is>
          <t> 88484 </t>
        </is>
      </c>
      <c r="C84" s="16" t="inlineStr">
        <is>
          <t>SINAPI</t>
        </is>
      </c>
      <c r="D84" s="16" t="inlineStr">
        <is>
          <t>APLICAÇÃO DE FUNDO SELADOR ACRÍLICO EM TETO, UMA DEMÃO. AF_06/2014</t>
        </is>
      </c>
      <c r="E84" s="17" t="inlineStr">
        <is>
          <t>m²</t>
        </is>
      </c>
      <c r="F84" s="18" t="n">
        <v>261.99</v>
      </c>
      <c r="G84" s="19" t="n">
        <v>4.17</v>
      </c>
      <c r="H84" s="19" t="str">
        <f>TRUNC(G84 * (1 + 23.44 / 100), 2)</f>
      </c>
      <c r="I84" s="19" t="str">
        <f>TRUNC(F84 * h84, 2)</f>
      </c>
    </row>
    <row customHeight="1" ht="26" r="85">
      <c r="A85" s="16" t="inlineStr">
        <is>
          <t> 9.5 </t>
        </is>
      </c>
      <c r="B85" s="18" t="inlineStr">
        <is>
          <t> 88496 </t>
        </is>
      </c>
      <c r="C85" s="16" t="inlineStr">
        <is>
          <t>SINAPI</t>
        </is>
      </c>
      <c r="D85" s="16" t="inlineStr">
        <is>
          <t>APLICAÇÃO E LIXAMENTO DE MASSA LÁTEX EM TETO, DUAS DEMÃOS. AF_06/2014</t>
        </is>
      </c>
      <c r="E85" s="17" t="inlineStr">
        <is>
          <t>m²</t>
        </is>
      </c>
      <c r="F85" s="18" t="n">
        <v>261.99</v>
      </c>
      <c r="G85" s="19" t="n">
        <v>24.18</v>
      </c>
      <c r="H85" s="19" t="str">
        <f>TRUNC(G85 * (1 + 23.44 / 100), 2)</f>
      </c>
      <c r="I85" s="19" t="str">
        <f>TRUNC(F85 * h85, 2)</f>
      </c>
    </row>
    <row customHeight="1" ht="26" r="86">
      <c r="A86" s="16" t="inlineStr">
        <is>
          <t> 9.6 </t>
        </is>
      </c>
      <c r="B86" s="18" t="inlineStr">
        <is>
          <t> 88488 </t>
        </is>
      </c>
      <c r="C86" s="16" t="inlineStr">
        <is>
          <t>SINAPI</t>
        </is>
      </c>
      <c r="D86" s="16" t="inlineStr">
        <is>
          <t>APLICAÇÃO MANUAL DE PINTURA COM TINTA LÁTEX ACRÍLICA EM TETO, DUAS DEMÃOS. AF_06/2014</t>
        </is>
      </c>
      <c r="E86" s="17" t="inlineStr">
        <is>
          <t>m²</t>
        </is>
      </c>
      <c r="F86" s="18" t="n">
        <v>261.99</v>
      </c>
      <c r="G86" s="19" t="n">
        <v>10.42</v>
      </c>
      <c r="H86" s="19" t="str">
        <f>TRUNC(G86 * (1 + 23.44 / 100), 2)</f>
      </c>
      <c r="I86" s="19" t="str">
        <f>TRUNC(F86 * h86, 2)</f>
      </c>
    </row>
    <row customHeight="1" ht="26" r="87">
      <c r="A87" s="16" t="inlineStr">
        <is>
          <t> 9.7 </t>
        </is>
      </c>
      <c r="B87" s="18" t="inlineStr">
        <is>
          <t> 88495 </t>
        </is>
      </c>
      <c r="C87" s="16" t="inlineStr">
        <is>
          <t>SINAPI</t>
        </is>
      </c>
      <c r="D87" s="16" t="inlineStr">
        <is>
          <t>APLICAÇÃO E LIXAMENTO DE MASSA LÁTEX EM PAREDES, UMA DEMÃO. AF_06/2014</t>
        </is>
      </c>
      <c r="E87" s="17" t="inlineStr">
        <is>
          <t>m²</t>
        </is>
      </c>
      <c r="F87" s="18" t="n">
        <v>488.09</v>
      </c>
      <c r="G87" s="19" t="n">
        <v>8.87</v>
      </c>
      <c r="H87" s="19" t="str">
        <f>TRUNC(G87 * (1 + 23.44 / 100), 2)</f>
      </c>
      <c r="I87" s="19" t="str">
        <f>TRUNC(F87 * h87, 2)</f>
      </c>
    </row>
    <row customHeight="1" ht="24" r="88">
      <c r="A88" s="8" t="inlineStr">
        <is>
          <t> 10 </t>
        </is>
      </c>
      <c r="B88" s="8"/>
      <c r="C88" s="8"/>
      <c r="D88" s="8" t="inlineStr">
        <is>
          <t>ESQUADRIAS</t>
        </is>
      </c>
      <c r="E88" s="8"/>
      <c r="F88" s="10"/>
      <c r="G88" s="8"/>
      <c r="H88" s="8"/>
      <c r="I88" s="11" t="n">
        <v>86094.26</v>
      </c>
    </row>
    <row customHeight="1" ht="39" r="89">
      <c r="A89" s="16" t="inlineStr">
        <is>
          <t> 10.1 </t>
        </is>
      </c>
      <c r="B89" s="18" t="inlineStr">
        <is>
          <t> CIVIL.ESQV.01 </t>
        </is>
      </c>
      <c r="C89" s="16" t="inlineStr">
        <is>
          <t>Próprio</t>
        </is>
      </c>
      <c r="D89" s="16" t="inlineStr">
        <is>
          <t>Janela em alumínio anodizado, na cor branca, tipo moldura-vidro, max-ar, com vidro laminado de 6mm, na cor verde. (REF.: 11940/ORSE)</t>
        </is>
      </c>
      <c r="E89" s="17" t="inlineStr">
        <is>
          <t>m²</t>
        </is>
      </c>
      <c r="F89" s="18" t="n">
        <v>16.3</v>
      </c>
      <c r="G89" s="19" t="n">
        <v>603.26</v>
      </c>
      <c r="H89" s="19" t="str">
        <f>TRUNC(G89 * (1 + 23.44 / 100), 2)</f>
      </c>
      <c r="I89" s="19" t="str">
        <f>TRUNC(F89 * h89, 2)</f>
      </c>
    </row>
    <row customHeight="1" ht="39" r="90">
      <c r="A90" s="16" t="inlineStr">
        <is>
          <t> 10.2 </t>
        </is>
      </c>
      <c r="B90" s="18" t="inlineStr">
        <is>
          <t> 1928 </t>
        </is>
      </c>
      <c r="C90" s="16" t="inlineStr">
        <is>
          <t>ORSE</t>
        </is>
      </c>
      <c r="D90" s="16" t="inlineStr">
        <is>
          <t>Revestimento para parede com chapa de aço inoxidável nº22, 200x100cm, colada c/ adesivo compound ou similar, sobre compensado naval</t>
        </is>
      </c>
      <c r="E90" s="17" t="inlineStr">
        <is>
          <t>m²</t>
        </is>
      </c>
      <c r="F90" s="18" t="n">
        <v>0.64</v>
      </c>
      <c r="G90" s="19" t="n">
        <v>299.27</v>
      </c>
      <c r="H90" s="19" t="str">
        <f>TRUNC(G90 * (1 + 23.44 / 100), 2)</f>
      </c>
      <c r="I90" s="19" t="str">
        <f>TRUNC(F90 * h90, 2)</f>
      </c>
    </row>
    <row customHeight="1" ht="52" r="91">
      <c r="A91" s="16" t="inlineStr">
        <is>
          <t> 10.3 </t>
        </is>
      </c>
      <c r="B91" s="18" t="inlineStr">
        <is>
          <t> 94570 </t>
        </is>
      </c>
      <c r="C91" s="16" t="inlineStr">
        <is>
          <t>SINAPI</t>
        </is>
      </c>
      <c r="D91" s="16" t="inlineStr">
        <is>
          <t>JANELA DE ALUMÍNIO DE CORRER COM 2 FOLHAS PARA VIDROS, COM VIDROS, BATENTE, ACABAMENTO COM ACETATO OU BRILHANTE E FERRAGENS. EXCLUSIVE ALIZAR E CONTRAMARCO. FORNECIMENTO E INSTALAÇÃO. AF_12/2019</t>
        </is>
      </c>
      <c r="E91" s="17" t="inlineStr">
        <is>
          <t>m²</t>
        </is>
      </c>
      <c r="F91" s="18" t="n">
        <v>30.0</v>
      </c>
      <c r="G91" s="19" t="n">
        <v>786.39</v>
      </c>
      <c r="H91" s="19" t="str">
        <f>TRUNC(G91 * (1 + 23.44 / 100), 2)</f>
      </c>
      <c r="I91" s="19" t="str">
        <f>TRUNC(F91 * h91, 2)</f>
      </c>
    </row>
    <row customHeight="1" ht="39" r="92">
      <c r="A92" s="16" t="inlineStr">
        <is>
          <t> 10.4 </t>
        </is>
      </c>
      <c r="B92" s="18" t="inlineStr">
        <is>
          <t> 102184 </t>
        </is>
      </c>
      <c r="C92" s="16" t="inlineStr">
        <is>
          <t>SINAPI</t>
        </is>
      </c>
      <c r="D92" s="16" t="inlineStr">
        <is>
          <t>PORTA DE ABRIR COM MOLA HIDRÁULICA, EM VIDRO TEMPERADO, 90X210 CM, ESPESSURA 10 MM, INCLUSIVE ACESSÓRIOS. AF_01/2021</t>
        </is>
      </c>
      <c r="E92" s="17" t="inlineStr">
        <is>
          <t>UN</t>
        </is>
      </c>
      <c r="F92" s="18" t="n">
        <v>1.0</v>
      </c>
      <c r="G92" s="19" t="n">
        <v>1911.34</v>
      </c>
      <c r="H92" s="19" t="str">
        <f>TRUNC(G92 * (1 + 23.44 / 100), 2)</f>
      </c>
      <c r="I92" s="19" t="str">
        <f>TRUNC(F92 * h92, 2)</f>
      </c>
    </row>
    <row customHeight="1" ht="39" r="93">
      <c r="A93" s="16" t="inlineStr">
        <is>
          <t> 10.5 </t>
        </is>
      </c>
      <c r="B93" s="18" t="inlineStr">
        <is>
          <t> CIVIL.ESQV.15 </t>
        </is>
      </c>
      <c r="C93" s="16" t="inlineStr">
        <is>
          <t>Próprio</t>
        </is>
      </c>
      <c r="D93" s="16" t="inlineStr">
        <is>
          <t>Porta em vidro temperado 10mm, na cor verde, inclusive ferragens  e instalação, exclusive puxador (REF. 13095/ORSE)</t>
        </is>
      </c>
      <c r="E93" s="17" t="inlineStr">
        <is>
          <t>m²</t>
        </is>
      </c>
      <c r="F93" s="18" t="n">
        <v>5.0</v>
      </c>
      <c r="G93" s="19" t="n">
        <v>952.95</v>
      </c>
      <c r="H93" s="19" t="str">
        <f>TRUNC(G93 * (1 + 23.44 / 100), 2)</f>
      </c>
      <c r="I93" s="19" t="str">
        <f>TRUNC(F93 * h93, 2)</f>
      </c>
    </row>
    <row customHeight="1" ht="39" r="94">
      <c r="A94" s="16" t="inlineStr">
        <is>
          <t> 10.6 </t>
        </is>
      </c>
      <c r="B94" s="18" t="inlineStr">
        <is>
          <t> CIVIL.ESQV.16 </t>
        </is>
      </c>
      <c r="C94" s="16" t="inlineStr">
        <is>
          <t>Próprio</t>
        </is>
      </c>
      <c r="D94" s="16" t="inlineStr">
        <is>
          <t>Puxador duplo para porta, em alumínio polido, ø = 1", l= 40cm, ref. 3008, da Vesfer ou similar  (REF.  9733/ORSE)</t>
        </is>
      </c>
      <c r="E94" s="17" t="inlineStr">
        <is>
          <t>Un</t>
        </is>
      </c>
      <c r="F94" s="18" t="n">
        <v>2.0</v>
      </c>
      <c r="G94" s="19" t="n">
        <v>243.31</v>
      </c>
      <c r="H94" s="19" t="str">
        <f>TRUNC(G94 * (1 + 23.44 / 100), 2)</f>
      </c>
      <c r="I94" s="19" t="str">
        <f>TRUNC(F94 * h94, 2)</f>
      </c>
    </row>
    <row customHeight="1" ht="52" r="95">
      <c r="A95" s="16" t="inlineStr">
        <is>
          <t> 10.7 </t>
        </is>
      </c>
      <c r="B95" s="18" t="inlineStr">
        <is>
          <t> 90797 </t>
        </is>
      </c>
      <c r="C95" s="16" t="inlineStr">
        <is>
          <t>SINAPI</t>
        </is>
      </c>
      <c r="D95" s="16" t="inlineStr">
        <is>
          <t>KIT DE PORTA-PRONTA DE MADEIRA EM ACABAMENTO MELAMÍNICO BRANCO, FOLHA LEVE OU MÉDIA, E BATENTE METÁLICO, 90X210CM, FIXAÇÃO COM ARGAMASSA - FORNECIMENTO E INSTALAÇÃO. AF_12/2019</t>
        </is>
      </c>
      <c r="E95" s="17" t="inlineStr">
        <is>
          <t>UN</t>
        </is>
      </c>
      <c r="F95" s="18" t="n">
        <v>19.0</v>
      </c>
      <c r="G95" s="19" t="n">
        <v>732.78</v>
      </c>
      <c r="H95" s="19" t="str">
        <f>TRUNC(G95 * (1 + 23.44 / 100), 2)</f>
      </c>
      <c r="I95" s="19" t="str">
        <f>TRUNC(F95 * h95, 2)</f>
      </c>
    </row>
    <row customHeight="1" ht="52" r="96">
      <c r="A96" s="16" t="inlineStr">
        <is>
          <t> 10.8 </t>
        </is>
      </c>
      <c r="B96" s="18" t="inlineStr">
        <is>
          <t> 90793 </t>
        </is>
      </c>
      <c r="C96" s="16" t="inlineStr">
        <is>
          <t>SINAPI</t>
        </is>
      </c>
      <c r="D96" s="16" t="inlineStr">
        <is>
          <t>KIT DE PORTA-PRONTA DE MADEIRA EM ACABAMENTO MELAMÍNICO BRANCO, FOLHA PESADA OU SUPERPESADA, 90X210CM, FIXAÇÃO COM PREENCHIMENTO TOTAL DE ESPUMA EXPANSIVA - FORNECIMENTO E INSTALAÇÃO. AF_12/2019</t>
        </is>
      </c>
      <c r="E96" s="17" t="inlineStr">
        <is>
          <t>UN</t>
        </is>
      </c>
      <c r="F96" s="18" t="n">
        <v>4.0</v>
      </c>
      <c r="G96" s="19" t="n">
        <v>1076.55</v>
      </c>
      <c r="H96" s="19" t="str">
        <f>TRUNC(G96 * (1 + 23.44 / 100), 2)</f>
      </c>
      <c r="I96" s="19" t="str">
        <f>TRUNC(F96 * h96, 2)</f>
      </c>
    </row>
    <row customHeight="1" ht="24" r="97">
      <c r="A97" s="16" t="inlineStr">
        <is>
          <t> 10.9 </t>
        </is>
      </c>
      <c r="B97" s="18" t="inlineStr">
        <is>
          <t> 112781 </t>
        </is>
      </c>
      <c r="C97" s="16" t="inlineStr">
        <is>
          <t>SBC</t>
        </is>
      </c>
      <c r="D97" s="16" t="inlineStr">
        <is>
          <t>JANELA MAXIM AR EM PVC COM VIDRO 4MM COMPLETA</t>
        </is>
      </c>
      <c r="E97" s="17" t="inlineStr">
        <is>
          <t>m²</t>
        </is>
      </c>
      <c r="F97" s="18" t="n">
        <v>7.8</v>
      </c>
      <c r="G97" s="19" t="n">
        <v>1110.7</v>
      </c>
      <c r="H97" s="19" t="str">
        <f>TRUNC(G97 * (1 + 23.44 / 100), 2)</f>
      </c>
      <c r="I97" s="19" t="str">
        <f>TRUNC(F97 * h97, 2)</f>
      </c>
    </row>
    <row customHeight="1" ht="52" r="98">
      <c r="A98" s="16" t="inlineStr">
        <is>
          <t> 10.10 </t>
        </is>
      </c>
      <c r="B98" s="18" t="inlineStr">
        <is>
          <t> CIVIL.ESQV.22 </t>
        </is>
      </c>
      <c r="C98" s="16" t="inlineStr">
        <is>
          <t>Próprio</t>
        </is>
      </c>
      <c r="D98" s="16" t="inlineStr">
        <is>
          <t>Porta em madeira compensada (canela), lisa, semi-ôca, 1,60x2,10m, duas folhas, com visor 40x50cm, inclusive batentes e ferragem, exclusive vidros (REF 8374/ORSE)</t>
        </is>
      </c>
      <c r="E98" s="17" t="inlineStr">
        <is>
          <t>un</t>
        </is>
      </c>
      <c r="F98" s="18" t="n">
        <v>1.0</v>
      </c>
      <c r="G98" s="19" t="n">
        <v>1751.78</v>
      </c>
      <c r="H98" s="19" t="str">
        <f>TRUNC(G98 * (1 + 23.44 / 100), 2)</f>
      </c>
      <c r="I98" s="19" t="str">
        <f>TRUNC(F98 * h98, 2)</f>
      </c>
    </row>
    <row customHeight="1" ht="24" r="99">
      <c r="A99" s="16" t="inlineStr">
        <is>
          <t> 10.11 </t>
        </is>
      </c>
      <c r="B99" s="18" t="inlineStr">
        <is>
          <t> 12199 </t>
        </is>
      </c>
      <c r="C99" s="16" t="inlineStr">
        <is>
          <t>ORSE</t>
        </is>
      </c>
      <c r="D99" s="16" t="inlineStr">
        <is>
          <t>Veda porta NHN ou similar, 80cm</t>
        </is>
      </c>
      <c r="E99" s="17" t="inlineStr">
        <is>
          <t>un</t>
        </is>
      </c>
      <c r="F99" s="18" t="n">
        <v>3.0</v>
      </c>
      <c r="G99" s="19" t="n">
        <v>13.74</v>
      </c>
      <c r="H99" s="19" t="str">
        <f>TRUNC(G99 * (1 + 23.44 / 100), 2)</f>
      </c>
      <c r="I99" s="19" t="str">
        <f>TRUNC(F99 * h99, 2)</f>
      </c>
    </row>
    <row customHeight="1" ht="24" r="100">
      <c r="A100" s="16" t="inlineStr">
        <is>
          <t> 10.12 </t>
        </is>
      </c>
      <c r="B100" s="18" t="inlineStr">
        <is>
          <t> 112701 </t>
        </is>
      </c>
      <c r="C100" s="16" t="inlineStr">
        <is>
          <t>SBC</t>
        </is>
      </c>
      <c r="D100" s="16" t="inlineStr">
        <is>
          <t>GAXETA PINGADEIRA FAA-201</t>
        </is>
      </c>
      <c r="E100" s="17" t="inlineStr">
        <is>
          <t>M</t>
        </is>
      </c>
      <c r="F100" s="18" t="n">
        <v>10.8</v>
      </c>
      <c r="G100" s="19" t="n">
        <v>8.36</v>
      </c>
      <c r="H100" s="19" t="str">
        <f>TRUNC(G100 * (1 + 23.44 / 100), 2)</f>
      </c>
      <c r="I100" s="19" t="str">
        <f>TRUNC(F100 * h100, 2)</f>
      </c>
    </row>
    <row customHeight="1" ht="39" r="101">
      <c r="A101" s="16" t="inlineStr">
        <is>
          <t> 10.13 </t>
        </is>
      </c>
      <c r="B101" s="18" t="inlineStr">
        <is>
          <t> 1928 </t>
        </is>
      </c>
      <c r="C101" s="16" t="inlineStr">
        <is>
          <t>ORSE</t>
        </is>
      </c>
      <c r="D101" s="16" t="inlineStr">
        <is>
          <t>Revestimento para parede com chapa de aço inoxidável nº22, 200x100cm, colada c/ adesivo compound ou similar, sobre compensado naval</t>
        </is>
      </c>
      <c r="E101" s="17" t="inlineStr">
        <is>
          <t>m²</t>
        </is>
      </c>
      <c r="F101" s="18" t="n">
        <v>0.64</v>
      </c>
      <c r="G101" s="19" t="n">
        <v>299.27</v>
      </c>
      <c r="H101" s="19" t="str">
        <f>TRUNC(G101 * (1 + 23.44 / 100), 2)</f>
      </c>
      <c r="I101" s="19" t="str">
        <f>TRUNC(F101 * h101, 2)</f>
      </c>
    </row>
    <row customHeight="1" ht="24" r="102">
      <c r="A102" s="8" t="inlineStr">
        <is>
          <t> 11 </t>
        </is>
      </c>
      <c r="B102" s="8"/>
      <c r="C102" s="8"/>
      <c r="D102" s="8" t="inlineStr">
        <is>
          <t>INSTALAÇÕES ELÉTRICAS</t>
        </is>
      </c>
      <c r="E102" s="8"/>
      <c r="F102" s="10"/>
      <c r="G102" s="8"/>
      <c r="H102" s="8"/>
      <c r="I102" s="11" t="n">
        <v>81396.78</v>
      </c>
    </row>
    <row customHeight="1" ht="91" r="103">
      <c r="A103" s="16" t="inlineStr">
        <is>
          <t> 11.1 </t>
        </is>
      </c>
      <c r="B103" s="18" t="inlineStr">
        <is>
          <t> ELT.003.0140 </t>
        </is>
      </c>
      <c r="C103" s="16" t="inlineStr">
        <is>
          <t>Próprio</t>
        </is>
      </c>
      <c r="D103" s="16" t="inlineStr">
        <is>
          <t>PONTO INTERRUPTOR SIMPLES - 1 TECLAS, SOBREPOR, CABO 1,5MM2 COM TERMINAL DE COMPRESSÃO, COM ELETRODUTO PVC RÍGIDO ROSCÁVEL SOBREPOR 3/4", CURVA 90G, LUVAS E ABRAÇADEIRAS, CAIXA DE SOBREPOR TIPO CONDULETE COM CONEXÕES E FIXAÇÃO, INTERRUPTOR COM PLACA, SUPORTE E MÓDULO (COMPLETA), FORNECIMENTO E INSTALAÇÃO. (REF.: 3276/ORSE)</t>
        </is>
      </c>
      <c r="E103" s="17" t="inlineStr">
        <is>
          <t>PT</t>
        </is>
      </c>
      <c r="F103" s="18" t="n">
        <v>12.0</v>
      </c>
      <c r="G103" s="19" t="n">
        <v>145.27</v>
      </c>
      <c r="H103" s="19" t="str">
        <f>TRUNC(G103 * (1 + 23.44 / 100), 2)</f>
      </c>
      <c r="I103" s="19" t="str">
        <f>TRUNC(F103 * h103, 2)</f>
      </c>
    </row>
    <row customHeight="1" ht="91" r="104">
      <c r="A104" s="16" t="inlineStr">
        <is>
          <t> 11.2 </t>
        </is>
      </c>
      <c r="B104" s="18" t="inlineStr">
        <is>
          <t> ELT.003.0140.1 </t>
        </is>
      </c>
      <c r="C104" s="16" t="inlineStr">
        <is>
          <t>Próprio</t>
        </is>
      </c>
      <c r="D104" s="16" t="inlineStr">
        <is>
          <t>PONTO INTERRUPTOR SIMPLES - 2 TECLAS, SOBREPOR, CABO 1,5MM2 COM TERMINAL DE COMPRESSÃO, COM ELETRODUTO PVC RÍGIDO ROSCÁVEL SOBREPOR 3/4", CURVA 90G, LUVAS E ABRAÇADEIRAS, CAIXA DE SOBREPOR TIPO CONDULETE COM CONEXÕES E FIXAÇÃO, INTERRUPTOR COM PLACA, SUPORTE E MÓDULO (COMPLETA), FORNECIMENTO E INSTALAÇÃO. (REF.: 3276/ORSE)</t>
        </is>
      </c>
      <c r="E104" s="17" t="inlineStr">
        <is>
          <t>PT</t>
        </is>
      </c>
      <c r="F104" s="18" t="n">
        <v>5.0</v>
      </c>
      <c r="G104" s="19" t="n">
        <v>158.98</v>
      </c>
      <c r="H104" s="19" t="str">
        <f>TRUNC(G104 * (1 + 23.44 / 100), 2)</f>
      </c>
      <c r="I104" s="19" t="str">
        <f>TRUNC(F104 * h104, 2)</f>
      </c>
    </row>
    <row customHeight="1" ht="91" r="105">
      <c r="A105" s="16" t="inlineStr">
        <is>
          <t> 11.3 </t>
        </is>
      </c>
      <c r="B105" s="18" t="inlineStr">
        <is>
          <t> ELT.00.003.0140.2 </t>
        </is>
      </c>
      <c r="C105" s="16" t="inlineStr">
        <is>
          <t>Próprio</t>
        </is>
      </c>
      <c r="D105" s="16" t="inlineStr">
        <is>
          <t>PONTO INTERRUPTOR PARALELO - 1 TECLA, SOBREPOR, CABO 1,5MM2 COM TERMINAL DE COMPRESSÃO, COM ELETRODUTO PVC RÍGIDO ROSCÁVEL SOBREPOR 3/4", CURVA 90G, LUVAS E ABRAÇADEIRAS, CAIXA DE SOBREPOR TIPO CONDULETE COM CONEXÕES E FIXAÇÃO, INTERRUPTOR COM PLACA, SUPORTE E MÓDULO (COMPLETA), FORNECIMENTO E INSTALAÇÃO. (REF.: 3276/ORSE)</t>
        </is>
      </c>
      <c r="E105" s="17" t="inlineStr">
        <is>
          <t>PT</t>
        </is>
      </c>
      <c r="F105" s="18" t="n">
        <v>8.0</v>
      </c>
      <c r="G105" s="19" t="n">
        <v>151.26</v>
      </c>
      <c r="H105" s="19" t="str">
        <f>TRUNC(G105 * (1 + 23.44 / 100), 2)</f>
      </c>
      <c r="I105" s="19" t="str">
        <f>TRUNC(F105 * h105, 2)</f>
      </c>
    </row>
    <row customHeight="1" ht="65" r="106">
      <c r="A106" s="16" t="inlineStr">
        <is>
          <t> 11.4 </t>
        </is>
      </c>
      <c r="B106" s="18" t="inlineStr">
        <is>
          <t> ELT.00.003.0140.3 </t>
        </is>
      </c>
      <c r="C106" s="16" t="inlineStr">
        <is>
          <t>Próprio</t>
        </is>
      </c>
      <c r="D106" s="16" t="inlineStr">
        <is>
          <t>PONTO RELÉ FOTOELÉTRICO, COM ELETRODUTO PVC RÍGIDO ROSCÁVEL SOBREPOR 3/4", CURVA 90G, LUVAS E ABRAÇADEIRA, SOBREPOR, CABO 1,5MM2, COM BASE PARA CONEXÕES E FIXAÇÃO DO RELÉ (COMPLETO), FORNECIMENTO E INSTALAÇÃO. (REF.: 101632 07/2022/SINAPI)</t>
        </is>
      </c>
      <c r="E106" s="17" t="inlineStr">
        <is>
          <t>PT</t>
        </is>
      </c>
      <c r="F106" s="18" t="n">
        <v>1.0</v>
      </c>
      <c r="G106" s="19" t="n">
        <v>154.68</v>
      </c>
      <c r="H106" s="19" t="str">
        <f>TRUNC(G106 * (1 + 23.44 / 100), 2)</f>
      </c>
      <c r="I106" s="19" t="str">
        <f>TRUNC(F106 * h106, 2)</f>
      </c>
    </row>
    <row customHeight="1" ht="91" r="107">
      <c r="A107" s="16" t="inlineStr">
        <is>
          <t> 11.5 </t>
        </is>
      </c>
      <c r="B107" s="18" t="inlineStr">
        <is>
          <t> ELT.00.004.008 </t>
        </is>
      </c>
      <c r="C107" s="16" t="inlineStr">
        <is>
          <t>Próprio</t>
        </is>
      </c>
      <c r="D107" s="16" t="inlineStr">
        <is>
          <t>PONTO TOMADA BIPOLAR 2P + T 10A/250V DUPLA (2 MÓDULOS) DE SOBREPOR, CABO 2,5MM2 COM TERMINAL DE COMPRESSÃO, ELETRODUTO PVC RÍGIDO ROSCÁVEL SOBREPOR 3/4", CURVA 90G, LUVAS E ABRAÇADEIRAS, CAIXA DE SOBREPOR TIPO CONDULETE COM CONEXÕES E FIXAÇÃO, TOMADA COM PLACA, SUPORTE E MÓDULO (COMPLETA), FORNECIMENTO E INSTALAÇÃO. (REF.: 93143/SINAPI)</t>
        </is>
      </c>
      <c r="E107" s="17" t="inlineStr">
        <is>
          <t>PT</t>
        </is>
      </c>
      <c r="F107" s="18" t="n">
        <v>55.0</v>
      </c>
      <c r="G107" s="19" t="n">
        <v>200.09</v>
      </c>
      <c r="H107" s="19" t="str">
        <f>TRUNC(G107 * (1 + 23.44 / 100), 2)</f>
      </c>
      <c r="I107" s="19" t="str">
        <f>TRUNC(F107 * h107, 2)</f>
      </c>
    </row>
    <row customHeight="1" ht="91" r="108">
      <c r="A108" s="16" t="inlineStr">
        <is>
          <t> 11.6 </t>
        </is>
      </c>
      <c r="B108" s="18" t="inlineStr">
        <is>
          <t> ELT.00.003.0140.4 </t>
        </is>
      </c>
      <c r="C108" s="16" t="inlineStr">
        <is>
          <t>Próprio</t>
        </is>
      </c>
      <c r="D108" s="16" t="inlineStr">
        <is>
          <t>PONTO TOMADA BIPOLAR 2P + T 10A/250V SIMPLES (1 MÓDULO) DE SOBREPOR, CABO 2,5MM2 COM TERMINAL DE COMPRESSÃO, ELETRODUTO PVC RÍGIDO ROSCÁVEL SOBREPOR 3/4", CURVA 90G, LUVAS E ABRAÇADEIRAS, CAIXA DE SOBREPOR TIPO CONDULETE COM CONEXÕES E FIXAÇÃO, TOMADA COM PLACA, SUPORTE E MÓDULO (COMPLETA), FORNECIMENTO E INSTALAÇÃO. (REF.: 93143/SINAPI)</t>
        </is>
      </c>
      <c r="E108" s="17" t="inlineStr">
        <is>
          <t>PT</t>
        </is>
      </c>
      <c r="F108" s="18" t="n">
        <v>7.0</v>
      </c>
      <c r="G108" s="19" t="n">
        <v>180.35</v>
      </c>
      <c r="H108" s="19" t="str">
        <f>TRUNC(G108 * (1 + 23.44 / 100), 2)</f>
      </c>
      <c r="I108" s="19" t="str">
        <f>TRUNC(F108 * h108, 2)</f>
      </c>
    </row>
    <row customHeight="1" ht="39" r="109">
      <c r="A109" s="16" t="inlineStr">
        <is>
          <t> 11.7 </t>
        </is>
      </c>
      <c r="B109" s="18" t="inlineStr">
        <is>
          <t> ELT.00.003.0140.5 </t>
        </is>
      </c>
      <c r="C109" s="16" t="inlineStr">
        <is>
          <t>Próprio</t>
        </is>
      </c>
      <c r="D109" s="16" t="inlineStr">
        <is>
          <t>LUMINÁRIA TIPO CALHA, DE SOBREPOR, COM 2 LÂMPADAS TUBULARES LED DE 20 W, INCLUSO DUAS LÂMPADAS LED DE 20W- FORNECIMENTO E INSTALAÇÃO.</t>
        </is>
      </c>
      <c r="E109" s="17" t="inlineStr">
        <is>
          <t>UN</t>
        </is>
      </c>
      <c r="F109" s="18" t="n">
        <v>11.0</v>
      </c>
      <c r="G109" s="19" t="n">
        <v>105.03</v>
      </c>
      <c r="H109" s="19" t="str">
        <f>TRUNC(G109 * (1 + 23.44 / 100), 2)</f>
      </c>
      <c r="I109" s="19" t="str">
        <f>TRUNC(F109 * h109, 2)</f>
      </c>
    </row>
    <row customHeight="1" ht="26" r="110">
      <c r="A110" s="16" t="inlineStr">
        <is>
          <t> 11.8 </t>
        </is>
      </c>
      <c r="B110" s="18" t="inlineStr">
        <is>
          <t> 97665 </t>
        </is>
      </c>
      <c r="C110" s="16" t="inlineStr">
        <is>
          <t>SINAPI</t>
        </is>
      </c>
      <c r="D110" s="16" t="inlineStr">
        <is>
          <t>REMOÇÃO DE LUMINÁRIAS, DE FORMA MANUAL, SEM REAPROVEITAMENTO. AF_12/2017</t>
        </is>
      </c>
      <c r="E110" s="17" t="inlineStr">
        <is>
          <t>UN</t>
        </is>
      </c>
      <c r="F110" s="18" t="n">
        <v>60.0</v>
      </c>
      <c r="G110" s="19" t="n">
        <v>0.96</v>
      </c>
      <c r="H110" s="19" t="str">
        <f>TRUNC(G110 * (1 + 23.44 / 100), 2)</f>
      </c>
      <c r="I110" s="19" t="str">
        <f>TRUNC(F110 * h110, 2)</f>
      </c>
    </row>
    <row customHeight="1" ht="39" r="111">
      <c r="A111" s="16" t="inlineStr">
        <is>
          <t> 11.9 </t>
        </is>
      </c>
      <c r="B111" s="18" t="inlineStr">
        <is>
          <t> ELT.00.003.0140.6 </t>
        </is>
      </c>
      <c r="C111" s="16" t="inlineStr">
        <is>
          <t>Próprio</t>
        </is>
      </c>
      <c r="D111" s="16" t="inlineStr">
        <is>
          <t>LUMINÁRIA COM LÂMPADA DE LED ( LUMINÁRIA + LÂMPADAS LED) MULTIUSO BL29 2x20W 6500K (COMPLETA). FORNECIMENTO E INSTALAÇÃO</t>
        </is>
      </c>
      <c r="E111" s="17" t="inlineStr">
        <is>
          <t>UN</t>
        </is>
      </c>
      <c r="F111" s="18" t="n">
        <v>110.0</v>
      </c>
      <c r="G111" s="19" t="n">
        <v>123.2</v>
      </c>
      <c r="H111" s="19" t="str">
        <f>TRUNC(G111 * (1 + 23.44 / 100), 2)</f>
      </c>
      <c r="I111" s="19" t="str">
        <f>TRUNC(F111 * h111, 2)</f>
      </c>
    </row>
    <row customHeight="1" ht="65" r="112">
      <c r="A112" s="16" t="inlineStr">
        <is>
          <t> 11.10 </t>
        </is>
      </c>
      <c r="B112" s="18" t="inlineStr">
        <is>
          <t> ELT.00.003.0140.7 </t>
        </is>
      </c>
      <c r="C112" s="16" t="inlineStr">
        <is>
          <t>Próprio</t>
        </is>
      </c>
      <c r="D112" s="16" t="inlineStr">
        <is>
          <t>PONTO DE LUZ EM TETO OU PAREDE, SOBREPOR, COM ELETRODUTOS PVC RÍGIDO  3/4" E ACESSÓRIOS DE FIXAÇÃO E CONEXÃO, CAIXA OCTOGONAL 4X4" E CABO 1,5MM2 COM TERMINAIS DE COMPRESSÃO, FORNECIMENTO E INSTALAÇÃO. (REF.: 91959/SINAPI)</t>
        </is>
      </c>
      <c r="E112" s="17" t="inlineStr">
        <is>
          <t>PT</t>
        </is>
      </c>
      <c r="F112" s="18" t="n">
        <v>120.0</v>
      </c>
      <c r="G112" s="19" t="n">
        <v>72.71</v>
      </c>
      <c r="H112" s="19" t="str">
        <f>TRUNC(G112 * (1 + 23.44 / 100), 2)</f>
      </c>
      <c r="I112" s="19" t="str">
        <f>TRUNC(F112 * h112, 2)</f>
      </c>
    </row>
    <row customHeight="1" ht="52" r="113">
      <c r="A113" s="16" t="inlineStr">
        <is>
          <t> 11.11 </t>
        </is>
      </c>
      <c r="B113" s="18" t="inlineStr">
        <is>
          <t> 101883 </t>
        </is>
      </c>
      <c r="C113" s="16" t="inlineStr">
        <is>
          <t>SINAPI</t>
        </is>
      </c>
      <c r="D113" s="16" t="inlineStr">
        <is>
          <t>QUADRO DE DISTRIBUIÇÃO DE ENERGIA EM CHAPA DE AÇO GALVANIZADO, DE EMBUTIR, COM BARRAMENTO TRIFÁSICO, PARA 18 DISJUNTORES DIN 100A - FORNECIMENTO E INSTALAÇÃO. AF_10/2020</t>
        </is>
      </c>
      <c r="E113" s="17" t="inlineStr">
        <is>
          <t>UN</t>
        </is>
      </c>
      <c r="F113" s="18" t="n">
        <v>1.0</v>
      </c>
      <c r="G113" s="19" t="n">
        <v>489.4</v>
      </c>
      <c r="H113" s="19" t="str">
        <f>TRUNC(G113 * (1 + 23.44 / 100), 2)</f>
      </c>
      <c r="I113" s="19" t="str">
        <f>TRUNC(F113 * h113, 2)</f>
      </c>
    </row>
    <row customHeight="1" ht="26" r="114">
      <c r="A114" s="16" t="inlineStr">
        <is>
          <t> 11.12 </t>
        </is>
      </c>
      <c r="B114" s="18" t="inlineStr">
        <is>
          <t> 8689 </t>
        </is>
      </c>
      <c r="C114" s="16" t="inlineStr">
        <is>
          <t>ORSE</t>
        </is>
      </c>
      <c r="D114" s="16" t="inlineStr">
        <is>
          <t>Curva horizontal 50 x 50 mm para eletrocalha metálica, com ângulo 90° (ref.: mopa ou similar)</t>
        </is>
      </c>
      <c r="E114" s="17" t="inlineStr">
        <is>
          <t>un</t>
        </is>
      </c>
      <c r="F114" s="18" t="n">
        <v>2.0</v>
      </c>
      <c r="G114" s="19" t="n">
        <v>16.53</v>
      </c>
      <c r="H114" s="19" t="str">
        <f>TRUNC(G114 * (1 + 23.44 / 100), 2)</f>
      </c>
      <c r="I114" s="19" t="str">
        <f>TRUNC(F114 * h114, 2)</f>
      </c>
    </row>
    <row customHeight="1" ht="39" r="115">
      <c r="A115" s="16" t="inlineStr">
        <is>
          <t> 11.13 </t>
        </is>
      </c>
      <c r="B115" s="18" t="inlineStr">
        <is>
          <t> 100862 </t>
        </is>
      </c>
      <c r="C115" s="16" t="inlineStr">
        <is>
          <t>SINAPI</t>
        </is>
      </c>
      <c r="D115" s="16" t="inlineStr">
        <is>
          <t>SUPORTE MÃO FRANCESA EM ACO, ABAS IGUAIS 40 CM, CAPACIDADE MINIMA 70 KG, BRANCO - FORNECIMENTO E INSTALAÇÃO. AF_01/2020</t>
        </is>
      </c>
      <c r="E115" s="17" t="inlineStr">
        <is>
          <t>UN</t>
        </is>
      </c>
      <c r="F115" s="18" t="n">
        <v>35.0</v>
      </c>
      <c r="G115" s="19" t="n">
        <v>40.3</v>
      </c>
      <c r="H115" s="19" t="str">
        <f>TRUNC(G115 * (1 + 23.44 / 100), 2)</f>
      </c>
      <c r="I115" s="19" t="str">
        <f>TRUNC(F115 * h115, 2)</f>
      </c>
    </row>
    <row customHeight="1" ht="26" r="116">
      <c r="A116" s="16" t="inlineStr">
        <is>
          <t> 11.14 </t>
        </is>
      </c>
      <c r="B116" s="18" t="inlineStr">
        <is>
          <t> 93654 </t>
        </is>
      </c>
      <c r="C116" s="16" t="inlineStr">
        <is>
          <t>SINAPI</t>
        </is>
      </c>
      <c r="D116" s="16" t="inlineStr">
        <is>
          <t>DISJUNTOR MONOPOLAR TIPO DIN, CORRENTE NOMINAL DE 16A - FORNECIMENTO E INSTALAÇÃO. AF_10/2020</t>
        </is>
      </c>
      <c r="E116" s="17" t="inlineStr">
        <is>
          <t>UN</t>
        </is>
      </c>
      <c r="F116" s="18" t="n">
        <v>3.0</v>
      </c>
      <c r="G116" s="19" t="n">
        <v>11.3</v>
      </c>
      <c r="H116" s="19" t="str">
        <f>TRUNC(G116 * (1 + 23.44 / 100), 2)</f>
      </c>
      <c r="I116" s="19" t="str">
        <f>TRUNC(F116 * h116, 2)</f>
      </c>
    </row>
    <row customHeight="1" ht="26" r="117">
      <c r="A117" s="16" t="inlineStr">
        <is>
          <t> 11.15 </t>
        </is>
      </c>
      <c r="B117" s="18" t="inlineStr">
        <is>
          <t> 93655 </t>
        </is>
      </c>
      <c r="C117" s="16" t="inlineStr">
        <is>
          <t>SINAPI</t>
        </is>
      </c>
      <c r="D117" s="16" t="inlineStr">
        <is>
          <t>DISJUNTOR MONOPOLAR TIPO DIN, CORRENTE NOMINAL DE 20A - FORNECIMENTO E INSTALAÇÃO. AF_10/2020</t>
        </is>
      </c>
      <c r="E117" s="17" t="inlineStr">
        <is>
          <t>UN</t>
        </is>
      </c>
      <c r="F117" s="18" t="n">
        <v>1.0</v>
      </c>
      <c r="G117" s="19" t="n">
        <v>12.31</v>
      </c>
      <c r="H117" s="19" t="str">
        <f>TRUNC(G117 * (1 + 23.44 / 100), 2)</f>
      </c>
      <c r="I117" s="19" t="str">
        <f>TRUNC(F117 * h117, 2)</f>
      </c>
    </row>
    <row customHeight="1" ht="26" r="118">
      <c r="A118" s="16" t="inlineStr">
        <is>
          <t> 11.16 </t>
        </is>
      </c>
      <c r="B118" s="18" t="inlineStr">
        <is>
          <t> 93653 </t>
        </is>
      </c>
      <c r="C118" s="16" t="inlineStr">
        <is>
          <t>SINAPI</t>
        </is>
      </c>
      <c r="D118" s="16" t="inlineStr">
        <is>
          <t>DISJUNTOR MONOPOLAR TIPO DIN, CORRENTE NOMINAL DE 10A - FORNECIMENTO E INSTALAÇÃO. AF_10/2020</t>
        </is>
      </c>
      <c r="E118" s="17" t="inlineStr">
        <is>
          <t>UN</t>
        </is>
      </c>
      <c r="F118" s="18" t="n">
        <v>7.0</v>
      </c>
      <c r="G118" s="19" t="n">
        <v>10.83</v>
      </c>
      <c r="H118" s="19" t="str">
        <f>TRUNC(G118 * (1 + 23.44 / 100), 2)</f>
      </c>
      <c r="I118" s="19" t="str">
        <f>TRUNC(F118 * h118, 2)</f>
      </c>
    </row>
    <row customHeight="1" ht="26" r="119">
      <c r="A119" s="16" t="inlineStr">
        <is>
          <t> 11.17 </t>
        </is>
      </c>
      <c r="B119" s="18" t="inlineStr">
        <is>
          <t> 93670 </t>
        </is>
      </c>
      <c r="C119" s="16" t="inlineStr">
        <is>
          <t>SINAPI</t>
        </is>
      </c>
      <c r="D119" s="16" t="inlineStr">
        <is>
          <t>DISJUNTOR TRIPOLAR TIPO DIN, CORRENTE NOMINAL DE 25A - FORNECIMENTO E INSTALAÇÃO. AF_10/2020</t>
        </is>
      </c>
      <c r="E119" s="17" t="inlineStr">
        <is>
          <t>UN</t>
        </is>
      </c>
      <c r="F119" s="18" t="n">
        <v>1.0</v>
      </c>
      <c r="G119" s="19" t="n">
        <v>71.14</v>
      </c>
      <c r="H119" s="19" t="str">
        <f>TRUNC(G119 * (1 + 23.44 / 100), 2)</f>
      </c>
      <c r="I119" s="19" t="str">
        <f>TRUNC(F119 * h119, 2)</f>
      </c>
    </row>
    <row customHeight="1" ht="26" r="120">
      <c r="A120" s="16" t="inlineStr">
        <is>
          <t> 11.18 </t>
        </is>
      </c>
      <c r="B120" s="18" t="inlineStr">
        <is>
          <t> 8688 </t>
        </is>
      </c>
      <c r="C120" s="16" t="inlineStr">
        <is>
          <t>ORSE</t>
        </is>
      </c>
      <c r="D120" s="16" t="inlineStr">
        <is>
          <t>Curva horizontal 100 x 100 mm para eletrocalha metálica, com ângulo 90° (ref.: mopa ou similar)</t>
        </is>
      </c>
      <c r="E120" s="17" t="inlineStr">
        <is>
          <t>un</t>
        </is>
      </c>
      <c r="F120" s="18" t="n">
        <v>5.0</v>
      </c>
      <c r="G120" s="19" t="n">
        <v>26.03</v>
      </c>
      <c r="H120" s="19" t="str">
        <f>TRUNC(G120 * (1 + 23.44 / 100), 2)</f>
      </c>
      <c r="I120" s="19" t="str">
        <f>TRUNC(F120 * h120, 2)</f>
      </c>
    </row>
    <row customHeight="1" ht="26" r="121">
      <c r="A121" s="16" t="inlineStr">
        <is>
          <t> 11.19 </t>
        </is>
      </c>
      <c r="B121" s="18" t="inlineStr">
        <is>
          <t> 12611 </t>
        </is>
      </c>
      <c r="C121" s="16" t="inlineStr">
        <is>
          <t>ORSE</t>
        </is>
      </c>
      <c r="D121" s="16" t="inlineStr">
        <is>
          <t>Terminal 100 x 100 mm, zincado, para eletrocalha metalica (ref. Mopa ou similar)</t>
        </is>
      </c>
      <c r="E121" s="17" t="inlineStr">
        <is>
          <t>un</t>
        </is>
      </c>
      <c r="F121" s="18" t="n">
        <v>2.0</v>
      </c>
      <c r="G121" s="19" t="n">
        <v>11.91</v>
      </c>
      <c r="H121" s="19" t="str">
        <f>TRUNC(G121 * (1 + 23.44 / 100), 2)</f>
      </c>
      <c r="I121" s="19" t="str">
        <f>TRUNC(F121 * h121, 2)</f>
      </c>
    </row>
    <row customHeight="1" ht="26" r="122">
      <c r="A122" s="16" t="inlineStr">
        <is>
          <t> 11.20 </t>
        </is>
      </c>
      <c r="B122" s="18" t="inlineStr">
        <is>
          <t> 8687 </t>
        </is>
      </c>
      <c r="C122" s="16" t="inlineStr">
        <is>
          <t>ORSE</t>
        </is>
      </c>
      <c r="D122" s="16" t="inlineStr">
        <is>
          <t>Tê horizontal 100 x 100 mm para eletrocalha metálica (ref. Mopa ou similar)</t>
        </is>
      </c>
      <c r="E122" s="17" t="inlineStr">
        <is>
          <t>un</t>
        </is>
      </c>
      <c r="F122" s="18" t="n">
        <v>2.0</v>
      </c>
      <c r="G122" s="19" t="n">
        <v>83.13</v>
      </c>
      <c r="H122" s="19" t="str">
        <f>TRUNC(G122 * (1 + 23.44 / 100), 2)</f>
      </c>
      <c r="I122" s="19" t="str">
        <f>TRUNC(F122 * h122, 2)</f>
      </c>
    </row>
    <row customHeight="1" ht="39" r="123">
      <c r="A123" s="16" t="inlineStr">
        <is>
          <t> 11.21 </t>
        </is>
      </c>
      <c r="B123" s="18" t="inlineStr">
        <is>
          <t> 91864 </t>
        </is>
      </c>
      <c r="C123" s="16" t="inlineStr">
        <is>
          <t>SINAPI</t>
        </is>
      </c>
      <c r="D123" s="16" t="inlineStr">
        <is>
          <t>ELETRODUTO RÍGIDO ROSCÁVEL, PVC, DN 32 MM (1"), PARA CIRCUITOS TERMINAIS, INSTALADO EM FORRO - FORNECIMENTO E INSTALAÇÃO. AF_12/2015</t>
        </is>
      </c>
      <c r="E123" s="17" t="inlineStr">
        <is>
          <t>M</t>
        </is>
      </c>
      <c r="F123" s="18" t="n">
        <v>18.0</v>
      </c>
      <c r="G123" s="19" t="n">
        <v>13.09</v>
      </c>
      <c r="H123" s="19" t="str">
        <f>TRUNC(G123 * (1 + 23.44 / 100), 2)</f>
      </c>
      <c r="I123" s="19" t="str">
        <f>TRUNC(F123 * h123, 2)</f>
      </c>
    </row>
    <row customHeight="1" ht="39" r="124">
      <c r="A124" s="16" t="inlineStr">
        <is>
          <t> 11.22 </t>
        </is>
      </c>
      <c r="B124" s="18" t="inlineStr">
        <is>
          <t> 91863 </t>
        </is>
      </c>
      <c r="C124" s="16" t="inlineStr">
        <is>
          <t>SINAPI</t>
        </is>
      </c>
      <c r="D124" s="16" t="inlineStr">
        <is>
          <t>ELETRODUTO RÍGIDO ROSCÁVEL, PVC, DN 25 MM (3/4"), PARA CIRCUITOS TERMINAIS, INSTALADO EM FORRO - FORNECIMENTO E INSTALAÇÃO. AF_12/2015</t>
        </is>
      </c>
      <c r="E124" s="17" t="inlineStr">
        <is>
          <t>M</t>
        </is>
      </c>
      <c r="F124" s="18" t="n">
        <v>9.0</v>
      </c>
      <c r="G124" s="19" t="n">
        <v>9.5</v>
      </c>
      <c r="H124" s="19" t="str">
        <f>TRUNC(G124 * (1 + 23.44 / 100), 2)</f>
      </c>
      <c r="I124" s="19" t="str">
        <f>TRUNC(F124 * h124, 2)</f>
      </c>
    </row>
    <row customHeight="1" ht="39" r="125">
      <c r="A125" s="16" t="inlineStr">
        <is>
          <t> 11.23 </t>
        </is>
      </c>
      <c r="B125" s="18" t="inlineStr">
        <is>
          <t> 91893 </t>
        </is>
      </c>
      <c r="C125" s="16" t="inlineStr">
        <is>
          <t>SINAPI</t>
        </is>
      </c>
      <c r="D125" s="16" t="inlineStr">
        <is>
          <t>CURVA 90 GRAUS PARA ELETRODUTO, PVC, ROSCÁVEL, DN 32 MM (1"), PARA CIRCUITOS TERMINAIS, INSTALADA EM FORRO - FORNECIMENTO E INSTALAÇÃO. AF_12/2015</t>
        </is>
      </c>
      <c r="E125" s="17" t="inlineStr">
        <is>
          <t>UN</t>
        </is>
      </c>
      <c r="F125" s="18" t="n">
        <v>2.0</v>
      </c>
      <c r="G125" s="19" t="n">
        <v>11.39</v>
      </c>
      <c r="H125" s="19" t="str">
        <f>TRUNC(G125 * (1 + 23.44 / 100), 2)</f>
      </c>
      <c r="I125" s="19" t="str">
        <f>TRUNC(F125 * h125, 2)</f>
      </c>
    </row>
    <row customHeight="1" ht="39" r="126">
      <c r="A126" s="16" t="inlineStr">
        <is>
          <t> 11.24 </t>
        </is>
      </c>
      <c r="B126" s="18" t="inlineStr">
        <is>
          <t> 91890 </t>
        </is>
      </c>
      <c r="C126" s="16" t="inlineStr">
        <is>
          <t>SINAPI</t>
        </is>
      </c>
      <c r="D126" s="16" t="inlineStr">
        <is>
          <t>CURVA 90 GRAUS PARA ELETRODUTO, PVC, ROSCÁVEL, DN 25 MM (3/4"), PARA CIRCUITOS TERMINAIS, INSTALADA EM FORRO - FORNECIMENTO E INSTALAÇÃO. AF_12/2015</t>
        </is>
      </c>
      <c r="E126" s="17" t="inlineStr">
        <is>
          <t>UN</t>
        </is>
      </c>
      <c r="F126" s="18" t="n">
        <v>2.0</v>
      </c>
      <c r="G126" s="19" t="n">
        <v>9.3</v>
      </c>
      <c r="H126" s="19" t="str">
        <f>TRUNC(G126 * (1 + 23.44 / 100), 2)</f>
      </c>
      <c r="I126" s="19" t="str">
        <f>TRUNC(F126 * h126, 2)</f>
      </c>
    </row>
    <row customHeight="1" ht="26" r="127">
      <c r="A127" s="16" t="inlineStr">
        <is>
          <t> 11.25 </t>
        </is>
      </c>
      <c r="B127" s="18" t="inlineStr">
        <is>
          <t> 061108 </t>
        </is>
      </c>
      <c r="C127" s="16" t="inlineStr">
        <is>
          <t>SBC</t>
        </is>
      </c>
      <c r="D127" s="16" t="inlineStr">
        <is>
          <t>ELETROCALHA PERFURADA TIPO ""U"" 100X100 CHAPA 22 SEM TAMPA</t>
        </is>
      </c>
      <c r="E127" s="17" t="inlineStr">
        <is>
          <t>M</t>
        </is>
      </c>
      <c r="F127" s="18" t="n">
        <v>135.0</v>
      </c>
      <c r="G127" s="19" t="n">
        <v>76.53</v>
      </c>
      <c r="H127" s="19" t="str">
        <f>TRUNC(G127 * (1 + 23.44 / 100), 2)</f>
      </c>
      <c r="I127" s="19" t="str">
        <f>TRUNC(F127 * h127, 2)</f>
      </c>
    </row>
    <row customHeight="1" ht="26" r="128">
      <c r="A128" s="16" t="inlineStr">
        <is>
          <t> 11.26 </t>
        </is>
      </c>
      <c r="B128" s="18" t="inlineStr">
        <is>
          <t> 12523 </t>
        </is>
      </c>
      <c r="C128" s="16" t="inlineStr">
        <is>
          <t>ORSE</t>
        </is>
      </c>
      <c r="D128" s="16" t="inlineStr">
        <is>
          <t>Tampa de encaixe 100 X 3000 mm, zincada, para eletrocalha metálica (ref.: mopa ou similar)</t>
        </is>
      </c>
      <c r="E128" s="17" t="inlineStr">
        <is>
          <t>m</t>
        </is>
      </c>
      <c r="F128" s="18" t="n">
        <v>135.0</v>
      </c>
      <c r="G128" s="19" t="n">
        <v>19.5</v>
      </c>
      <c r="H128" s="19" t="str">
        <f>TRUNC(G128 * (1 + 23.44 / 100), 2)</f>
      </c>
      <c r="I128" s="19" t="str">
        <f>TRUNC(F128 * h128, 2)</f>
      </c>
    </row>
    <row customHeight="1" ht="26" r="129">
      <c r="A129" s="16" t="inlineStr">
        <is>
          <t> 11.27 </t>
        </is>
      </c>
      <c r="B129" s="18" t="inlineStr">
        <is>
          <t> 11549 </t>
        </is>
      </c>
      <c r="C129" s="16" t="inlineStr">
        <is>
          <t>ORSE</t>
        </is>
      </c>
      <c r="D129" s="16" t="inlineStr">
        <is>
          <t>Curva vertical 150 x 100 mm para eletrocalha metálica, com ângulo 90° (ref.: mopa ou similar)</t>
        </is>
      </c>
      <c r="E129" s="17" t="inlineStr">
        <is>
          <t>un</t>
        </is>
      </c>
      <c r="F129" s="18" t="n">
        <v>1.0</v>
      </c>
      <c r="G129" s="19" t="n">
        <v>52.23</v>
      </c>
      <c r="H129" s="19" t="str">
        <f>TRUNC(G129 * (1 + 23.44 / 100), 2)</f>
      </c>
      <c r="I129" s="19" t="str">
        <f>TRUNC(F129 * h129, 2)</f>
      </c>
    </row>
    <row customHeight="1" ht="39" r="130">
      <c r="A130" s="16" t="inlineStr">
        <is>
          <t> 11.28 </t>
        </is>
      </c>
      <c r="B130" s="18" t="inlineStr">
        <is>
          <t> 92981 </t>
        </is>
      </c>
      <c r="C130" s="16" t="inlineStr">
        <is>
          <t>SINAPI</t>
        </is>
      </c>
      <c r="D130" s="16" t="inlineStr">
        <is>
          <t>CABO DE COBRE FLEXÍVEL ISOLADO, 16 MM², ANTI-CHAMA 450/750 V, PARA DISTRIBUIÇÃO - FORNECIMENTO E INSTALAÇÃO. AF_12/2015</t>
        </is>
      </c>
      <c r="E130" s="17" t="inlineStr">
        <is>
          <t>M</t>
        </is>
      </c>
      <c r="F130" s="18" t="n">
        <v>550.0</v>
      </c>
      <c r="G130" s="19" t="n">
        <v>15.02</v>
      </c>
      <c r="H130" s="19" t="str">
        <f>TRUNC(G130 * (1 + 23.44 / 100), 2)</f>
      </c>
      <c r="I130" s="19" t="str">
        <f>TRUNC(F130 * h130, 2)</f>
      </c>
    </row>
    <row customHeight="1" ht="52" r="131">
      <c r="A131" s="16" t="inlineStr">
        <is>
          <t> 11.29 </t>
        </is>
      </c>
      <c r="B131" s="18" t="inlineStr">
        <is>
          <t> 101875 </t>
        </is>
      </c>
      <c r="C131" s="16" t="inlineStr">
        <is>
          <t>SINAPI</t>
        </is>
      </c>
      <c r="D131" s="16" t="inlineStr">
        <is>
          <t>QUADRO DE DISTRIBUIÇÃO DE ENERGIA EM CHAPA DE AÇO GALVANIZADO, DE EMBUTIR, COM BARRAMENTO TRIFÁSICO, PARA 12 DISJUNTORES DIN 100A - FORNECIMENTO E INSTALAÇÃO. AF_10/2020</t>
        </is>
      </c>
      <c r="E131" s="17" t="inlineStr">
        <is>
          <t>UN</t>
        </is>
      </c>
      <c r="F131" s="18" t="n">
        <v>2.0</v>
      </c>
      <c r="G131" s="19" t="n">
        <v>354.28</v>
      </c>
      <c r="H131" s="19" t="str">
        <f>TRUNC(G131 * (1 + 23.44 / 100), 2)</f>
      </c>
      <c r="I131" s="19" t="str">
        <f>TRUNC(F131 * h131, 2)</f>
      </c>
    </row>
    <row customHeight="1" ht="39" r="132">
      <c r="A132" s="16" t="inlineStr">
        <is>
          <t> 11.30 </t>
        </is>
      </c>
      <c r="B132" s="18" t="inlineStr">
        <is>
          <t> 91928 </t>
        </is>
      </c>
      <c r="C132" s="16" t="inlineStr">
        <is>
          <t>SINAPI</t>
        </is>
      </c>
      <c r="D132" s="16" t="inlineStr">
        <is>
          <t>CABO DE COBRE FLEXÍVEL ISOLADO, 4 MM², ANTI-CHAMA 450/750 V, PARA CIRCUITOS TERMINAIS - FORNECIMENTO E INSTALAÇÃO. AF_12/2015</t>
        </is>
      </c>
      <c r="E132" s="17" t="inlineStr">
        <is>
          <t>M</t>
        </is>
      </c>
      <c r="F132" s="18" t="n">
        <v>250.0</v>
      </c>
      <c r="G132" s="19" t="n">
        <v>5.96</v>
      </c>
      <c r="H132" s="19" t="str">
        <f>TRUNC(G132 * (1 + 23.44 / 100), 2)</f>
      </c>
      <c r="I132" s="19" t="str">
        <f>TRUNC(F132 * h132, 2)</f>
      </c>
    </row>
    <row customHeight="1" ht="24" r="133">
      <c r="A133" s="8" t="inlineStr">
        <is>
          <t> 12 </t>
        </is>
      </c>
      <c r="B133" s="8"/>
      <c r="C133" s="8"/>
      <c r="D133" s="8" t="inlineStr">
        <is>
          <t>CABEAMENTO ESTRUTURADO E TELEFÔNICO</t>
        </is>
      </c>
      <c r="E133" s="8"/>
      <c r="F133" s="10"/>
      <c r="G133" s="8"/>
      <c r="H133" s="8"/>
      <c r="I133" s="11" t="n">
        <v>42540.46</v>
      </c>
    </row>
    <row customHeight="1" ht="26" r="134">
      <c r="A134" s="16" t="inlineStr">
        <is>
          <t> 12.1 </t>
        </is>
      </c>
      <c r="B134" s="18" t="inlineStr">
        <is>
          <t> CAB.06.21 </t>
        </is>
      </c>
      <c r="C134" s="16" t="inlineStr">
        <is>
          <t>Próprio</t>
        </is>
      </c>
      <c r="D134" s="16" t="inlineStr">
        <is>
          <t>CERTIFICAÇÃO DE REDE DE CABEAMENTO ESTRUTURADO INCLUINDO ETIQUETAGEM DOS CABOS E PLACAS DE REDE</t>
        </is>
      </c>
      <c r="E134" s="17" t="inlineStr">
        <is>
          <t>PT</t>
        </is>
      </c>
      <c r="F134" s="18" t="n">
        <v>48.0</v>
      </c>
      <c r="G134" s="19" t="n">
        <v>30.43</v>
      </c>
      <c r="H134" s="19" t="str">
        <f>TRUNC(G134 * (1 + 23.44 / 100), 2)</f>
      </c>
      <c r="I134" s="19" t="str">
        <f>TRUNC(F134 * h134, 2)</f>
      </c>
    </row>
    <row customHeight="1" ht="39" r="135">
      <c r="A135" s="16" t="inlineStr">
        <is>
          <t> 12.2 </t>
        </is>
      </c>
      <c r="B135" s="18" t="inlineStr">
        <is>
          <t> 91917 </t>
        </is>
      </c>
      <c r="C135" s="16" t="inlineStr">
        <is>
          <t>SINAPI</t>
        </is>
      </c>
      <c r="D135" s="16" t="inlineStr">
        <is>
          <t>CURVA 90 GRAUS PARA ELETRODUTO, PVC, ROSCÁVEL, DN 32 MM (1"), PARA CIRCUITOS TERMINAIS, INSTALADA EM PAREDE - FORNECIMENTO E INSTALAÇÃO. AF_12/2015</t>
        </is>
      </c>
      <c r="E135" s="17" t="inlineStr">
        <is>
          <t>UN</t>
        </is>
      </c>
      <c r="F135" s="18" t="n">
        <v>4.0</v>
      </c>
      <c r="G135" s="19" t="n">
        <v>14.7</v>
      </c>
      <c r="H135" s="19" t="str">
        <f>TRUNC(G135 * (1 + 23.44 / 100), 2)</f>
      </c>
      <c r="I135" s="19" t="str">
        <f>TRUNC(F135 * h135, 2)</f>
      </c>
    </row>
    <row customHeight="1" ht="39" r="136">
      <c r="A136" s="16" t="inlineStr">
        <is>
          <t> 12.3 </t>
        </is>
      </c>
      <c r="B136" s="18" t="inlineStr">
        <is>
          <t> 91872 </t>
        </is>
      </c>
      <c r="C136" s="16" t="inlineStr">
        <is>
          <t>SINAPI</t>
        </is>
      </c>
      <c r="D136" s="16" t="inlineStr">
        <is>
          <t>ELETRODUTO RÍGIDO ROSCÁVEL, PVC, DN 32 MM (1"), PARA CIRCUITOS TERMINAIS, INSTALADO EM PAREDE - FORNECIMENTO E INSTALAÇÃO. AF_12/2015</t>
        </is>
      </c>
      <c r="E136" s="17" t="inlineStr">
        <is>
          <t>M</t>
        </is>
      </c>
      <c r="F136" s="18" t="n">
        <v>30.0</v>
      </c>
      <c r="G136" s="19" t="n">
        <v>15.27</v>
      </c>
      <c r="H136" s="19" t="str">
        <f>TRUNC(G136 * (1 + 23.44 / 100), 2)</f>
      </c>
      <c r="I136" s="19" t="str">
        <f>TRUNC(F136 * h136, 2)</f>
      </c>
    </row>
    <row customHeight="1" ht="39" r="137">
      <c r="A137" s="16" t="inlineStr">
        <is>
          <t> 12.4 </t>
        </is>
      </c>
      <c r="B137" s="18" t="inlineStr">
        <is>
          <t> 91885 </t>
        </is>
      </c>
      <c r="C137" s="16" t="inlineStr">
        <is>
          <t>SINAPI</t>
        </is>
      </c>
      <c r="D137" s="16" t="inlineStr">
        <is>
          <t>LUVA PARA ELETRODUTO, PVC, ROSCÁVEL, DN 32 MM (1"), PARA CIRCUITOS TERMINAIS, INSTALADA EM PAREDE - FORNECIMENTO E INSTALAÇÃO. AF_12/2015</t>
        </is>
      </c>
      <c r="E137" s="17" t="inlineStr">
        <is>
          <t>UN</t>
        </is>
      </c>
      <c r="F137" s="18" t="n">
        <v>6.0</v>
      </c>
      <c r="G137" s="19" t="n">
        <v>9.18</v>
      </c>
      <c r="H137" s="19" t="str">
        <f>TRUNC(G137 * (1 + 23.44 / 100), 2)</f>
      </c>
      <c r="I137" s="19" t="str">
        <f>TRUNC(F137 * h137, 2)</f>
      </c>
    </row>
    <row customHeight="1" ht="39" r="138">
      <c r="A138" s="16" t="inlineStr">
        <is>
          <t> 12.5 </t>
        </is>
      </c>
      <c r="B138" s="18" t="inlineStr">
        <is>
          <t> 91871 </t>
        </is>
      </c>
      <c r="C138" s="16" t="inlineStr">
        <is>
          <t>SINAPI</t>
        </is>
      </c>
      <c r="D138" s="16" t="inlineStr">
        <is>
          <t>ELETRODUTO RÍGIDO ROSCÁVEL, PVC, DN 25 MM (3/4"), PARA CIRCUITOS TERMINAIS, INSTALADO EM PAREDE - FORNECIMENTO E INSTALAÇÃO. AF_12/2015</t>
        </is>
      </c>
      <c r="E138" s="17" t="inlineStr">
        <is>
          <t>M</t>
        </is>
      </c>
      <c r="F138" s="18" t="n">
        <v>30.0</v>
      </c>
      <c r="G138" s="19" t="n">
        <v>11.68</v>
      </c>
      <c r="H138" s="19" t="str">
        <f>TRUNC(G138 * (1 + 23.44 / 100), 2)</f>
      </c>
      <c r="I138" s="19" t="str">
        <f>TRUNC(F138 * h138, 2)</f>
      </c>
    </row>
    <row customHeight="1" ht="24" r="139">
      <c r="A139" s="16" t="inlineStr">
        <is>
          <t> 12.6 </t>
        </is>
      </c>
      <c r="B139" s="18" t="inlineStr">
        <is>
          <t> LOGICA.01.04 </t>
        </is>
      </c>
      <c r="C139" s="16" t="inlineStr">
        <is>
          <t>Próprio</t>
        </is>
      </c>
      <c r="D139" s="16" t="inlineStr">
        <is>
          <t>Kit de velcro</t>
        </is>
      </c>
      <c r="E139" s="17" t="inlineStr">
        <is>
          <t>un</t>
        </is>
      </c>
      <c r="F139" s="18" t="n">
        <v>50.0</v>
      </c>
      <c r="G139" s="19" t="n">
        <v>19.19</v>
      </c>
      <c r="H139" s="19" t="str">
        <f>TRUNC(G139 * (1 + 23.44 / 100), 2)</f>
      </c>
      <c r="I139" s="19" t="str">
        <f>TRUNC(F139 * h139, 2)</f>
      </c>
    </row>
    <row customHeight="1" ht="65" r="140">
      <c r="A140" s="16" t="inlineStr">
        <is>
          <t> 12.7 </t>
        </is>
      </c>
      <c r="B140" s="18" t="inlineStr">
        <is>
          <t> CAB.00.00140 </t>
        </is>
      </c>
      <c r="C140" s="16" t="inlineStr">
        <is>
          <t>Próprio</t>
        </is>
      </c>
      <c r="D140" s="16" t="inlineStr">
        <is>
          <t>PONTO DUPLO PARA CABEAMENTO ESTRUTURADO DE SOBREPOR, COM CONDULETE, TAMPA COM PLUG FÊMEA, COM ELETRODUTO PVC RÍGIDO Ø 3/4", ABRAÇADEIRAS DE FIXAÇÃO E CABO UTP 4 PARES CAT. 6 - FORNECIMENTO E INSTALAÇÃO</t>
        </is>
      </c>
      <c r="E140" s="17" t="inlineStr">
        <is>
          <t>PT</t>
        </is>
      </c>
      <c r="F140" s="18" t="n">
        <v>48.0</v>
      </c>
      <c r="G140" s="19" t="n">
        <v>565.27</v>
      </c>
      <c r="H140" s="19" t="str">
        <f>TRUNC(G140 * (1 + 23.44 / 100), 2)</f>
      </c>
      <c r="I140" s="19" t="str">
        <f>TRUNC(F140 * h140, 2)</f>
      </c>
    </row>
    <row customHeight="1" ht="26" r="141">
      <c r="A141" s="16" t="inlineStr">
        <is>
          <t> 12.8 </t>
        </is>
      </c>
      <c r="B141" s="18" t="inlineStr">
        <is>
          <t> 100556 </t>
        </is>
      </c>
      <c r="C141" s="16" t="inlineStr">
        <is>
          <t>SINAPI</t>
        </is>
      </c>
      <c r="D141" s="16" t="inlineStr">
        <is>
          <t>CAIXA DE PASSAGEM PARA TELEFONE 15X15X10CM (SOBREPOR), FORNECIMENTO E INSTALACAO. AF_11/2019</t>
        </is>
      </c>
      <c r="E141" s="17" t="inlineStr">
        <is>
          <t>UN</t>
        </is>
      </c>
      <c r="F141" s="18" t="n">
        <v>18.0</v>
      </c>
      <c r="G141" s="19" t="n">
        <v>33.72</v>
      </c>
      <c r="H141" s="19" t="str">
        <f>TRUNC(G141 * (1 + 23.44 / 100), 2)</f>
      </c>
      <c r="I141" s="19" t="str">
        <f>TRUNC(F141 * h141, 2)</f>
      </c>
    </row>
    <row customHeight="1" ht="26" r="142">
      <c r="A142" s="16" t="inlineStr">
        <is>
          <t> 12.9 </t>
        </is>
      </c>
      <c r="B142" s="18" t="inlineStr">
        <is>
          <t> 98304 </t>
        </is>
      </c>
      <c r="C142" s="16" t="inlineStr">
        <is>
          <t>SINAPI</t>
        </is>
      </c>
      <c r="D142" s="16" t="inlineStr">
        <is>
          <t>PATCH PANEL 48 PORTAS, CATEGORIA 6 - FORNECIMENTO E INSTALAÇÃO. AF_11/2019</t>
        </is>
      </c>
      <c r="E142" s="17" t="inlineStr">
        <is>
          <t>UN</t>
        </is>
      </c>
      <c r="F142" s="18" t="n">
        <v>1.0</v>
      </c>
      <c r="G142" s="19" t="n">
        <v>3381.32</v>
      </c>
      <c r="H142" s="19" t="str">
        <f>TRUNC(G142 * (1 + 23.44 / 100), 2)</f>
      </c>
      <c r="I142" s="19" t="str">
        <f>TRUNC(F142 * h142, 2)</f>
      </c>
    </row>
    <row customHeight="1" ht="24" r="143">
      <c r="A143" s="8" t="inlineStr">
        <is>
          <t> 13 </t>
        </is>
      </c>
      <c r="B143" s="8"/>
      <c r="C143" s="8"/>
      <c r="D143" s="8" t="inlineStr">
        <is>
          <t>INSTALAÇÕES DE CLIMATIZAÇÃO</t>
        </is>
      </c>
      <c r="E143" s="8"/>
      <c r="F143" s="10"/>
      <c r="G143" s="8"/>
      <c r="H143" s="8"/>
      <c r="I143" s="11" t="n">
        <v>9221.7</v>
      </c>
    </row>
    <row customHeight="1" ht="39" r="144">
      <c r="A144" s="16" t="inlineStr">
        <is>
          <t> 13.1 </t>
        </is>
      </c>
      <c r="B144" s="18" t="inlineStr">
        <is>
          <t> 89866 </t>
        </is>
      </c>
      <c r="C144" s="16" t="inlineStr">
        <is>
          <t>SINAPI</t>
        </is>
      </c>
      <c r="D144" s="16" t="inlineStr">
        <is>
          <t>JOELHO 90 GRAUS, PVC, SOLDÁVEL, DN 25MM, INSTALADO EM DRENO DE AR-CONDICIONADO - FORNECIMENTO E INSTALAÇÃO. AF_08/2022</t>
        </is>
      </c>
      <c r="E144" s="17" t="inlineStr">
        <is>
          <t>UN</t>
        </is>
      </c>
      <c r="F144" s="18" t="n">
        <v>7.0</v>
      </c>
      <c r="G144" s="19" t="n">
        <v>5.56</v>
      </c>
      <c r="H144" s="19" t="str">
        <f>TRUNC(G144 * (1 + 23.44 / 100), 2)</f>
      </c>
      <c r="I144" s="19" t="str">
        <f>TRUNC(F144 * h144, 2)</f>
      </c>
    </row>
    <row customHeight="1" ht="26" r="145">
      <c r="A145" s="16" t="inlineStr">
        <is>
          <t> 13.2 </t>
        </is>
      </c>
      <c r="B145" s="18" t="inlineStr">
        <is>
          <t> ELT.61.01 </t>
        </is>
      </c>
      <c r="C145" s="16" t="inlineStr">
        <is>
          <t>Próprio</t>
        </is>
      </c>
      <c r="D145" s="16" t="inlineStr">
        <is>
          <t>CAIXA DE ESPERA PARA PRE-INSTALAÇÃO DE AR CONDICIONADO SPLIT FORNECIMENTO E INSTALAÇÃO</t>
        </is>
      </c>
      <c r="E145" s="17" t="inlineStr">
        <is>
          <t>UN</t>
        </is>
      </c>
      <c r="F145" s="18" t="n">
        <v>5.0</v>
      </c>
      <c r="G145" s="19" t="n">
        <v>51.87</v>
      </c>
      <c r="H145" s="19" t="str">
        <f>TRUNC(G145 * (1 + 23.44 / 100), 2)</f>
      </c>
      <c r="I145" s="19" t="str">
        <f>TRUNC(F145 * h145, 2)</f>
      </c>
    </row>
    <row customHeight="1" ht="65" r="146">
      <c r="A146" s="16" t="inlineStr">
        <is>
          <t> 13.3 </t>
        </is>
      </c>
      <c r="B146" s="18" t="inlineStr">
        <is>
          <t> ELT.63.01 </t>
        </is>
      </c>
      <c r="C146" s="16" t="inlineStr">
        <is>
          <t>Próprio</t>
        </is>
      </c>
      <c r="D146" s="16" t="inlineStr">
        <is>
          <t>FORNECIMENTO E INSTALAÇÃO DE TUBULAÇÃO EM COBRE P/ INTERLIGAÇÃO DO CONDENSADOR AO EVAPORADOR, INCLUSIVE ISOLAMENTO, ALIMENTAÇÃO ELÉTRICA, CONEXÕES E FIXAÇÕES, P/ CONDICIONADORES DE AR SPLIT SYSTEM ATÉ 48.000 BTU.</t>
        </is>
      </c>
      <c r="E146" s="17" t="inlineStr">
        <is>
          <t>M</t>
        </is>
      </c>
      <c r="F146" s="18" t="n">
        <v>10.0</v>
      </c>
      <c r="G146" s="19" t="n">
        <v>184.64</v>
      </c>
      <c r="H146" s="19" t="str">
        <f>TRUNC(G146 * (1 + 23.44 / 100), 2)</f>
      </c>
      <c r="I146" s="19" t="str">
        <f>TRUNC(F146 * h146, 2)</f>
      </c>
    </row>
    <row customHeight="1" ht="65" r="147">
      <c r="A147" s="16" t="inlineStr">
        <is>
          <t> 13.4 </t>
        </is>
      </c>
      <c r="B147" s="18" t="inlineStr">
        <is>
          <t> ELT.55.01 </t>
        </is>
      </c>
      <c r="C147" s="16" t="inlineStr">
        <is>
          <t>Próprio</t>
        </is>
      </c>
      <c r="D147" s="16" t="inlineStr">
        <is>
          <t>FORNECIMENTO E INSTALAÇÃO DE TUBULAÇÃO EM COBRE P/ INTERLIGAÇÃO DO CONDENSADOR AO EVAPORADOR, INCLUSIVE ISOLAMENTO, ALIMENTAÇÃO ELÉTRICA, CONEXÕES E FIXAÇÕES, P/ CONDICIONADORES DE AR SPLIT SYSTEM DE 60.000 BTU.</t>
        </is>
      </c>
      <c r="E147" s="17" t="inlineStr">
        <is>
          <t>M</t>
        </is>
      </c>
      <c r="F147" s="18" t="n">
        <v>25.0</v>
      </c>
      <c r="G147" s="19" t="n">
        <v>195.5</v>
      </c>
      <c r="H147" s="19" t="str">
        <f>TRUNC(G147 * (1 + 23.44 / 100), 2)</f>
      </c>
      <c r="I147" s="19" t="str">
        <f>TRUNC(F147 * h147, 2)</f>
      </c>
    </row>
    <row customHeight="1" ht="39" r="148">
      <c r="A148" s="16" t="inlineStr">
        <is>
          <t> 13.5 </t>
        </is>
      </c>
      <c r="B148" s="18" t="inlineStr">
        <is>
          <t> 89865 </t>
        </is>
      </c>
      <c r="C148" s="16" t="inlineStr">
        <is>
          <t>SINAPI</t>
        </is>
      </c>
      <c r="D148" s="16" t="inlineStr">
        <is>
          <t>TUBO, PVC, SOLDÁVEL, DN 25MM, INSTALADO EM DRENO DE AR-CONDICIONADO - FORNECIMENTO E INSTALAÇÃO. AF_08/2022</t>
        </is>
      </c>
      <c r="E148" s="17" t="inlineStr">
        <is>
          <t>M</t>
        </is>
      </c>
      <c r="F148" s="18" t="n">
        <v>31.5</v>
      </c>
      <c r="G148" s="19" t="n">
        <v>13.93</v>
      </c>
      <c r="H148" s="19" t="str">
        <f>TRUNC(G148 * (1 + 23.44 / 100), 2)</f>
      </c>
      <c r="I148" s="19" t="str">
        <f>TRUNC(F148 * h148, 2)</f>
      </c>
    </row>
    <row customHeight="1" ht="24" r="149">
      <c r="A149" s="8" t="inlineStr">
        <is>
          <t> 14 </t>
        </is>
      </c>
      <c r="B149" s="8"/>
      <c r="C149" s="8"/>
      <c r="D149" s="8" t="inlineStr">
        <is>
          <t>INSTALAÇÕES HIDROSSANITÁRIAS</t>
        </is>
      </c>
      <c r="E149" s="8"/>
      <c r="F149" s="10"/>
      <c r="G149" s="8"/>
      <c r="H149" s="8"/>
      <c r="I149" s="11" t="n">
        <v>28376.1</v>
      </c>
    </row>
    <row customHeight="1" ht="26" r="150">
      <c r="A150" s="16" t="inlineStr">
        <is>
          <t> 14.1 </t>
        </is>
      </c>
      <c r="B150" s="18" t="inlineStr">
        <is>
          <t> CIVIL.INHI.05 </t>
        </is>
      </c>
      <c r="C150" s="16" t="inlineStr">
        <is>
          <t>Próprio</t>
        </is>
      </c>
      <c r="D150" s="16" t="inlineStr">
        <is>
          <t>Caixa de inspeção 0.80 x 0.80 x 0.60m. (REF.: 4883/ORSE)</t>
        </is>
      </c>
      <c r="E150" s="17" t="inlineStr">
        <is>
          <t>UN</t>
        </is>
      </c>
      <c r="F150" s="18" t="n">
        <v>16.0</v>
      </c>
      <c r="G150" s="19" t="n">
        <v>577.12</v>
      </c>
      <c r="H150" s="19" t="str">
        <f>TRUNC(G150 * (1 + 23.44 / 100), 2)</f>
      </c>
      <c r="I150" s="19" t="str">
        <f>TRUNC(F150 * h150, 2)</f>
      </c>
    </row>
    <row customHeight="1" ht="39" r="151">
      <c r="A151" s="16" t="inlineStr">
        <is>
          <t> 14.2 </t>
        </is>
      </c>
      <c r="B151" s="18" t="inlineStr">
        <is>
          <t> 89707 </t>
        </is>
      </c>
      <c r="C151" s="16" t="inlineStr">
        <is>
          <t>SINAPI</t>
        </is>
      </c>
      <c r="D151" s="16" t="inlineStr">
        <is>
          <t>CAIXA SIFONADA, PVC, DN 100 X 100 X 50 MM, JUNTA ELÁSTICA, FORNECIDA E INSTALADA EM RAMAL DE DESCARGA OU EM RAMAL DE ESGOTO SANITÁRIO. AF_12/2014</t>
        </is>
      </c>
      <c r="E151" s="17" t="inlineStr">
        <is>
          <t>UN</t>
        </is>
      </c>
      <c r="F151" s="18" t="n">
        <v>2.0</v>
      </c>
      <c r="G151" s="19" t="n">
        <v>37.19</v>
      </c>
      <c r="H151" s="19" t="str">
        <f>TRUNC(G151 * (1 + 23.44 / 100), 2)</f>
      </c>
      <c r="I151" s="19" t="str">
        <f>TRUNC(F151 * h151, 2)</f>
      </c>
    </row>
    <row customHeight="1" ht="39" r="152">
      <c r="A152" s="16" t="inlineStr">
        <is>
          <t> 14.3 </t>
        </is>
      </c>
      <c r="B152" s="18" t="inlineStr">
        <is>
          <t> CIVIL.INHI.26 </t>
        </is>
      </c>
      <c r="C152" s="16" t="inlineStr">
        <is>
          <t>Próprio</t>
        </is>
      </c>
      <c r="D152" s="16" t="inlineStr">
        <is>
          <t>Caixa sifonada em pvc, 150 x 150 x 50 mm, com tampa cega, acabamento branco, Akros ou similar (REF. 4282/ORSE)</t>
        </is>
      </c>
      <c r="E152" s="17" t="inlineStr">
        <is>
          <t>un</t>
        </is>
      </c>
      <c r="F152" s="18" t="n">
        <v>1.0</v>
      </c>
      <c r="G152" s="19" t="n">
        <v>53.81</v>
      </c>
      <c r="H152" s="19" t="str">
        <f>TRUNC(G152 * (1 + 23.44 / 100), 2)</f>
      </c>
      <c r="I152" s="19" t="str">
        <f>TRUNC(F152 * h152, 2)</f>
      </c>
    </row>
    <row customHeight="1" ht="39" r="153">
      <c r="A153" s="16" t="inlineStr">
        <is>
          <t> 14.4 </t>
        </is>
      </c>
      <c r="B153" s="18" t="inlineStr">
        <is>
          <t> CIVIL.INHI.25 </t>
        </is>
      </c>
      <c r="C153" s="16" t="inlineStr">
        <is>
          <t>Próprio</t>
        </is>
      </c>
      <c r="D153" s="16" t="inlineStr">
        <is>
          <t>Caixa sifonada quadrada, com três entradas e uma saida, d = 100x150x50mm, branco, com grelha, Akros ou similar (REF. 9383/ORSE)</t>
        </is>
      </c>
      <c r="E153" s="17" t="inlineStr">
        <is>
          <t>un</t>
        </is>
      </c>
      <c r="F153" s="18" t="n">
        <v>1.0</v>
      </c>
      <c r="G153" s="19" t="n">
        <v>37.77</v>
      </c>
      <c r="H153" s="19" t="str">
        <f>TRUNC(G153 * (1 + 23.44 / 100), 2)</f>
      </c>
      <c r="I153" s="19" t="str">
        <f>TRUNC(F153 * h153, 2)</f>
      </c>
    </row>
    <row customHeight="1" ht="26" r="154">
      <c r="A154" s="16" t="inlineStr">
        <is>
          <t> 14.5 </t>
        </is>
      </c>
      <c r="B154" s="18" t="inlineStr">
        <is>
          <t> CIVIL.INHI.70 </t>
        </is>
      </c>
      <c r="C154" s="16" t="inlineStr">
        <is>
          <t>Próprio</t>
        </is>
      </c>
      <c r="D154" s="16" t="inlineStr">
        <is>
          <t>SIFÃO DO TIPO GARRAFA/COPO EM PVC 1"X1 1/2" - FORNECIMENTO E INSTALAÇÃO (REF. 86882/SINAPI) -</t>
        </is>
      </c>
      <c r="E154" s="17" t="inlineStr">
        <is>
          <t>UN</t>
        </is>
      </c>
      <c r="F154" s="18" t="n">
        <v>3.0</v>
      </c>
      <c r="G154" s="19" t="n">
        <v>22.33</v>
      </c>
      <c r="H154" s="19" t="str">
        <f>TRUNC(G154 * (1 + 23.44 / 100), 2)</f>
      </c>
      <c r="I154" s="19" t="str">
        <f>TRUNC(F154 * h154, 2)</f>
      </c>
    </row>
    <row customHeight="1" ht="39" r="155">
      <c r="A155" s="16" t="inlineStr">
        <is>
          <t> 14.6 </t>
        </is>
      </c>
      <c r="B155" s="18" t="inlineStr">
        <is>
          <t> 86879 </t>
        </is>
      </c>
      <c r="C155" s="16" t="inlineStr">
        <is>
          <t>SINAPI</t>
        </is>
      </c>
      <c r="D155" s="16" t="inlineStr">
        <is>
          <t>VÁLVULA EM PLÁSTICO 1 PARA PIA, TANQUE OU LAVATÓRIO, COM OU SEM LADRÃO - FORNECIMENTO E INSTALAÇÃO. AF_01/2020</t>
        </is>
      </c>
      <c r="E155" s="17" t="inlineStr">
        <is>
          <t>UN</t>
        </is>
      </c>
      <c r="F155" s="18" t="n">
        <v>3.0</v>
      </c>
      <c r="G155" s="19" t="n">
        <v>8.89</v>
      </c>
      <c r="H155" s="19" t="str">
        <f>TRUNC(G155 * (1 + 23.44 / 100), 2)</f>
      </c>
      <c r="I155" s="19" t="str">
        <f>TRUNC(F155 * h155, 2)</f>
      </c>
    </row>
    <row customHeight="1" ht="26" r="156">
      <c r="A156" s="16" t="inlineStr">
        <is>
          <t> 14.7 </t>
        </is>
      </c>
      <c r="B156" s="18" t="inlineStr">
        <is>
          <t> CIVIL.INHI.59 </t>
        </is>
      </c>
      <c r="C156" s="16" t="inlineStr">
        <is>
          <t>Próprio</t>
        </is>
      </c>
      <c r="D156" s="16" t="inlineStr">
        <is>
          <t>Curva longa de 45° em pvc rígido c/ anéis, para esgoto secundário, diâm = 40mm (REF.: 1668/ORSE)</t>
        </is>
      </c>
      <c r="E156" s="17" t="inlineStr">
        <is>
          <t>und</t>
        </is>
      </c>
      <c r="F156" s="18" t="n">
        <v>1.0</v>
      </c>
      <c r="G156" s="19" t="n">
        <v>14.59</v>
      </c>
      <c r="H156" s="19" t="str">
        <f>TRUNC(G156 * (1 + 23.44 / 100), 2)</f>
      </c>
      <c r="I156" s="19" t="str">
        <f>TRUNC(F156 * h156, 2)</f>
      </c>
    </row>
    <row customHeight="1" ht="52" r="157">
      <c r="A157" s="16" t="inlineStr">
        <is>
          <t> 14.8 </t>
        </is>
      </c>
      <c r="B157" s="18" t="inlineStr">
        <is>
          <t> 89748 </t>
        </is>
      </c>
      <c r="C157" s="16" t="inlineStr">
        <is>
          <t>SINAPI</t>
        </is>
      </c>
      <c r="D157" s="16" t="inlineStr">
        <is>
          <t>CURVA CURTA 90 GRAUS, PVC, SERIE NORMAL, ESGOTO PREDIAL, DN 100 MM, JUNTA ELÁSTICA, FORNECIDO E INSTALADO EM RAMAL DE DESCARGA OU RAMAL DE ESGOTO SANITÁRIO. AF_12/2014</t>
        </is>
      </c>
      <c r="E157" s="17" t="inlineStr">
        <is>
          <t>UN</t>
        </is>
      </c>
      <c r="F157" s="18" t="n">
        <v>3.0</v>
      </c>
      <c r="G157" s="19" t="n">
        <v>40.54</v>
      </c>
      <c r="H157" s="19" t="str">
        <f>TRUNC(G157 * (1 + 23.44 / 100), 2)</f>
      </c>
      <c r="I157" s="19" t="str">
        <f>TRUNC(F157 * h157, 2)</f>
      </c>
    </row>
    <row customHeight="1" ht="52" r="158">
      <c r="A158" s="16" t="inlineStr">
        <is>
          <t> 14.9 </t>
        </is>
      </c>
      <c r="B158" s="18" t="inlineStr">
        <is>
          <t> 89728 </t>
        </is>
      </c>
      <c r="C158" s="16" t="inlineStr">
        <is>
          <t>SINAPI</t>
        </is>
      </c>
      <c r="D158" s="16" t="inlineStr">
        <is>
          <t>CURVA CURTA 90 GRAUS, PVC, SERIE NORMAL, ESGOTO PREDIAL, DN 40 MM, JUNTA SOLDÁVEL, FORNECIDO E INSTALADO EM RAMAL DE DESCARGA OU RAMAL DE ESGOTO SANITÁRIO. AF_12/2014</t>
        </is>
      </c>
      <c r="E158" s="17" t="inlineStr">
        <is>
          <t>UN</t>
        </is>
      </c>
      <c r="F158" s="18" t="n">
        <v>13.0</v>
      </c>
      <c r="G158" s="19" t="n">
        <v>11.1</v>
      </c>
      <c r="H158" s="19" t="str">
        <f>TRUNC(G158 * (1 + 23.44 / 100), 2)</f>
      </c>
      <c r="I158" s="19" t="str">
        <f>TRUNC(F158 * h158, 2)</f>
      </c>
    </row>
    <row customHeight="1" ht="52" r="159">
      <c r="A159" s="16" t="inlineStr">
        <is>
          <t> 14.10 </t>
        </is>
      </c>
      <c r="B159" s="18" t="inlineStr">
        <is>
          <t> 89735 </t>
        </is>
      </c>
      <c r="C159" s="16" t="inlineStr">
        <is>
          <t>SINAPI</t>
        </is>
      </c>
      <c r="D159" s="16" t="inlineStr">
        <is>
          <t>CURVA LONGA 90 GRAUS, PVC, SERIE NORMAL, ESGOTO PREDIAL, DN 50 MM, JUNTA ELÁSTICA, FORNECIDO E INSTALADO EM RAMAL DE DESCARGA OU RAMAL DE ESGOTO SANITÁRIO. AF_12/2014</t>
        </is>
      </c>
      <c r="E159" s="17" t="inlineStr">
        <is>
          <t>UN</t>
        </is>
      </c>
      <c r="F159" s="18" t="n">
        <v>1.0</v>
      </c>
      <c r="G159" s="19" t="n">
        <v>24.13</v>
      </c>
      <c r="H159" s="19" t="str">
        <f>TRUNC(G159 * (1 + 23.44 / 100), 2)</f>
      </c>
      <c r="I159" s="19" t="str">
        <f>TRUNC(F159 * h159, 2)</f>
      </c>
    </row>
    <row customHeight="1" ht="52" r="160">
      <c r="A160" s="16" t="inlineStr">
        <is>
          <t> 14.11 </t>
        </is>
      </c>
      <c r="B160" s="18" t="inlineStr">
        <is>
          <t> 89732 </t>
        </is>
      </c>
      <c r="C160" s="16" t="inlineStr">
        <is>
          <t>SINAPI</t>
        </is>
      </c>
      <c r="D160" s="16" t="inlineStr">
        <is>
          <t>JOELHO 45 GRAUS, PVC, SERIE NORMAL, ESGOTO PREDIAL, DN 50 MM, JUNTA ELÁSTICA, FORNECIDO E INSTALADO EM RAMAL DE DESCARGA OU RAMAL DE ESGOTO SANITÁRIO. AF_12/2014</t>
        </is>
      </c>
      <c r="E160" s="17" t="inlineStr">
        <is>
          <t>UN</t>
        </is>
      </c>
      <c r="F160" s="18" t="n">
        <v>1.0</v>
      </c>
      <c r="G160" s="19" t="n">
        <v>13.84</v>
      </c>
      <c r="H160" s="19" t="str">
        <f>TRUNC(G160 * (1 + 23.44 / 100), 2)</f>
      </c>
      <c r="I160" s="19" t="str">
        <f>TRUNC(F160 * h160, 2)</f>
      </c>
    </row>
    <row customHeight="1" ht="52" r="161">
      <c r="A161" s="16" t="inlineStr">
        <is>
          <t> 14.12 </t>
        </is>
      </c>
      <c r="B161" s="18" t="inlineStr">
        <is>
          <t> 89731 </t>
        </is>
      </c>
      <c r="C161" s="16" t="inlineStr">
        <is>
          <t>SINAPI</t>
        </is>
      </c>
      <c r="D161" s="16" t="inlineStr">
        <is>
          <t>JOELHO 90 GRAUS, PVC, SERIE NORMAL, ESGOTO PREDIAL, DN 50 MM, JUNTA ELÁSTICA, FORNECIDO E INSTALADO EM RAMAL DE DESCARGA OU RAMAL DE ESGOTO SANITÁRIO. AF_12/2014</t>
        </is>
      </c>
      <c r="E161" s="17" t="inlineStr">
        <is>
          <t>UN</t>
        </is>
      </c>
      <c r="F161" s="18" t="n">
        <v>10.0</v>
      </c>
      <c r="G161" s="19" t="n">
        <v>13.08</v>
      </c>
      <c r="H161" s="19" t="str">
        <f>TRUNC(G161 * (1 + 23.44 / 100), 2)</f>
      </c>
      <c r="I161" s="19" t="str">
        <f>TRUNC(F161 * h161, 2)</f>
      </c>
    </row>
    <row customHeight="1" ht="39" r="162">
      <c r="A162" s="16" t="inlineStr">
        <is>
          <t> 14.13 </t>
        </is>
      </c>
      <c r="B162" s="18" t="inlineStr">
        <is>
          <t> CIVIL.INHI.64 </t>
        </is>
      </c>
      <c r="C162" s="16" t="inlineStr">
        <is>
          <t>Próprio</t>
        </is>
      </c>
      <c r="D162" s="16" t="inlineStr">
        <is>
          <t>Joelho de 90°com bolsa para anel, em pvc rígido c/ anéis, para esgoto secundário, diâm = 40mm (REF. 1672 /ORSE)</t>
        </is>
      </c>
      <c r="E162" s="17" t="inlineStr">
        <is>
          <t>un</t>
        </is>
      </c>
      <c r="F162" s="18" t="n">
        <v>9.0</v>
      </c>
      <c r="G162" s="19" t="n">
        <v>14.36</v>
      </c>
      <c r="H162" s="19" t="str">
        <f>TRUNC(G162 * (1 + 23.44 / 100), 2)</f>
      </c>
      <c r="I162" s="19" t="str">
        <f>TRUNC(F162 * h162, 2)</f>
      </c>
    </row>
    <row customHeight="1" ht="52" r="163">
      <c r="A163" s="16" t="inlineStr">
        <is>
          <t> 14.14 </t>
        </is>
      </c>
      <c r="B163" s="18" t="inlineStr">
        <is>
          <t> CIVIL.INHI.55 </t>
        </is>
      </c>
      <c r="C163" s="16" t="inlineStr">
        <is>
          <t>Próprio</t>
        </is>
      </c>
      <c r="D163" s="16" t="inlineStr">
        <is>
          <t>JUNÇÃO SIMPLES, PVC, SERIE NORMAL, ESGOTO PREDIAL, DN 100 X 75 MM, JUNTA ELÁSTICA, FORNECIDO E INSTALADO EM RAMAL DE DESCARGA OU RAMAL DE ESGOTO SANITÁRIO.  (REF. 89797/SINAPI)</t>
        </is>
      </c>
      <c r="E163" s="17" t="inlineStr">
        <is>
          <t>UN</t>
        </is>
      </c>
      <c r="F163" s="18" t="n">
        <v>1.0</v>
      </c>
      <c r="G163" s="19" t="n">
        <v>45.19</v>
      </c>
      <c r="H163" s="19" t="str">
        <f>TRUNC(G163 * (1 + 23.44 / 100), 2)</f>
      </c>
      <c r="I163" s="19" t="str">
        <f>TRUNC(F163 * h163, 2)</f>
      </c>
    </row>
    <row customHeight="1" ht="52" r="164">
      <c r="A164" s="16" t="inlineStr">
        <is>
          <t> 14.15 </t>
        </is>
      </c>
      <c r="B164" s="18" t="inlineStr">
        <is>
          <t> 89797 </t>
        </is>
      </c>
      <c r="C164" s="16" t="inlineStr">
        <is>
          <t>SINAPI</t>
        </is>
      </c>
      <c r="D164" s="16" t="inlineStr">
        <is>
          <t>JUNÇÃO SIMPLES, PVC, SERIE NORMAL, ESGOTO PREDIAL, DN 100 X 100 MM, JUNTA ELÁSTICA, FORNECIDO E INSTALADO EM RAMAL DE DESCARGA OU RAMAL DE ESGOTO SANITÁRIO. AF_12/2014</t>
        </is>
      </c>
      <c r="E164" s="17" t="inlineStr">
        <is>
          <t>UN</t>
        </is>
      </c>
      <c r="F164" s="18" t="n">
        <v>2.0</v>
      </c>
      <c r="G164" s="19" t="n">
        <v>48.28</v>
      </c>
      <c r="H164" s="19" t="str">
        <f>TRUNC(G164 * (1 + 23.44 / 100), 2)</f>
      </c>
      <c r="I164" s="19" t="str">
        <f>TRUNC(F164 * h164, 2)</f>
      </c>
    </row>
    <row customHeight="1" ht="52" r="165">
      <c r="A165" s="16" t="inlineStr">
        <is>
          <t> 14.16 </t>
        </is>
      </c>
      <c r="B165" s="18" t="inlineStr">
        <is>
          <t> 89783 </t>
        </is>
      </c>
      <c r="C165" s="16" t="inlineStr">
        <is>
          <t>SINAPI</t>
        </is>
      </c>
      <c r="D165" s="16" t="inlineStr">
        <is>
          <t>JUNÇÃO SIMPLES, PVC, SERIE NORMAL, ESGOTO PREDIAL, DN 40 MM, JUNTA SOLDÁVEL, FORNECIDO E INSTALADO EM RAMAL DE DESCARGA OU RAMAL DE ESGOTO SANITÁRIO. AF_12/2014</t>
        </is>
      </c>
      <c r="E165" s="17" t="inlineStr">
        <is>
          <t>UN</t>
        </is>
      </c>
      <c r="F165" s="18" t="n">
        <v>1.0</v>
      </c>
      <c r="G165" s="19" t="n">
        <v>12.02</v>
      </c>
      <c r="H165" s="19" t="str">
        <f>TRUNC(G165 * (1 + 23.44 / 100), 2)</f>
      </c>
      <c r="I165" s="19" t="str">
        <f>TRUNC(F165 * h165, 2)</f>
      </c>
    </row>
    <row customHeight="1" ht="26" r="166">
      <c r="A166" s="16" t="inlineStr">
        <is>
          <t> 14.17 </t>
        </is>
      </c>
      <c r="B166" s="18" t="inlineStr">
        <is>
          <t> CIVIL.INHI.71 </t>
        </is>
      </c>
      <c r="C166" s="16" t="inlineStr">
        <is>
          <t>Próprio</t>
        </is>
      </c>
      <c r="D166" s="16" t="inlineStr">
        <is>
          <t>Junção simples em pvc rígido c/ anéis, para esgoto primário, diâm = 75 x 50mm (REF 1634/ORSE)</t>
        </is>
      </c>
      <c r="E166" s="17" t="inlineStr">
        <is>
          <t>un</t>
        </is>
      </c>
      <c r="F166" s="18" t="n">
        <v>2.0</v>
      </c>
      <c r="G166" s="19" t="n">
        <v>35.59</v>
      </c>
      <c r="H166" s="19" t="str">
        <f>TRUNC(G166 * (1 + 23.44 / 100), 2)</f>
      </c>
      <c r="I166" s="19" t="str">
        <f>TRUNC(F166 * h166, 2)</f>
      </c>
    </row>
    <row customHeight="1" ht="26" r="167">
      <c r="A167" s="16" t="inlineStr">
        <is>
          <t> 14.18 </t>
        </is>
      </c>
      <c r="B167" s="18" t="inlineStr">
        <is>
          <t> CIVIL.INHI.72 </t>
        </is>
      </c>
      <c r="C167" s="16" t="inlineStr">
        <is>
          <t>Próprio</t>
        </is>
      </c>
      <c r="D167" s="16" t="inlineStr">
        <is>
          <t>Redução excêntrica em pvc rígido c/ anéis, para esgoto primário, diâm =100 x 50mm (REF. 1656/ORSE)</t>
        </is>
      </c>
      <c r="E167" s="17" t="inlineStr">
        <is>
          <t>un</t>
        </is>
      </c>
      <c r="F167" s="18" t="n">
        <v>2.0</v>
      </c>
      <c r="G167" s="19" t="n">
        <v>19.11</v>
      </c>
      <c r="H167" s="19" t="str">
        <f>TRUNC(G167 * (1 + 23.44 / 100), 2)</f>
      </c>
      <c r="I167" s="19" t="str">
        <f>TRUNC(F167 * h167, 2)</f>
      </c>
    </row>
    <row customHeight="1" ht="26" r="168">
      <c r="A168" s="16" t="inlineStr">
        <is>
          <t> 14.19 </t>
        </is>
      </c>
      <c r="B168" s="18" t="inlineStr">
        <is>
          <t> CIVIL.INHI.73 </t>
        </is>
      </c>
      <c r="C168" s="16" t="inlineStr">
        <is>
          <t>Próprio</t>
        </is>
      </c>
      <c r="D168" s="16" t="inlineStr">
        <is>
          <t>Redução excêntrica em pvc rígido c/ anéis, para esgoto primário, diâm = 75 x 50mm (REF. 1655/ORSE)</t>
        </is>
      </c>
      <c r="E168" s="17" t="inlineStr">
        <is>
          <t>un</t>
        </is>
      </c>
      <c r="F168" s="18" t="n">
        <v>1.0</v>
      </c>
      <c r="G168" s="19" t="n">
        <v>16.42</v>
      </c>
      <c r="H168" s="19" t="str">
        <f>TRUNC(G168 * (1 + 23.44 / 100), 2)</f>
      </c>
      <c r="I168" s="19" t="str">
        <f>TRUNC(F168 * h168, 2)</f>
      </c>
    </row>
    <row customHeight="1" ht="39" r="169">
      <c r="A169" s="16" t="inlineStr">
        <is>
          <t> 14.20 </t>
        </is>
      </c>
      <c r="B169" s="18" t="inlineStr">
        <is>
          <t> 89714 </t>
        </is>
      </c>
      <c r="C169" s="16" t="inlineStr">
        <is>
          <t>SINAPI</t>
        </is>
      </c>
      <c r="D169" s="16" t="inlineStr">
        <is>
          <t>TUBO PVC, SERIE NORMAL, ESGOTO PREDIAL, DN 100 MM, FORNECIDO E INSTALADO EM RAMAL DE DESCARGA OU RAMAL DE ESGOTO SANITÁRIO. AF_12/2014</t>
        </is>
      </c>
      <c r="E169" s="17" t="inlineStr">
        <is>
          <t>M</t>
        </is>
      </c>
      <c r="F169" s="18" t="n">
        <v>177.7</v>
      </c>
      <c r="G169" s="19" t="n">
        <v>32.04</v>
      </c>
      <c r="H169" s="19" t="str">
        <f>TRUNC(G169 * (1 + 23.44 / 100), 2)</f>
      </c>
      <c r="I169" s="19" t="str">
        <f>TRUNC(F169 * h169, 2)</f>
      </c>
    </row>
    <row customHeight="1" ht="39" r="170">
      <c r="A170" s="16" t="inlineStr">
        <is>
          <t> 14.21 </t>
        </is>
      </c>
      <c r="B170" s="18" t="inlineStr">
        <is>
          <t> 89711 </t>
        </is>
      </c>
      <c r="C170" s="16" t="inlineStr">
        <is>
          <t>SINAPI</t>
        </is>
      </c>
      <c r="D170" s="16" t="inlineStr">
        <is>
          <t>TUBO PVC, SERIE NORMAL, ESGOTO PREDIAL, DN 40 MM, FORNECIDO E INSTALADO EM RAMAL DE DESCARGA OU RAMAL DE ESGOTO SANITÁRIO. AF_12/2014</t>
        </is>
      </c>
      <c r="E170" s="17" t="inlineStr">
        <is>
          <t>M</t>
        </is>
      </c>
      <c r="F170" s="18" t="n">
        <v>12.6</v>
      </c>
      <c r="G170" s="19" t="n">
        <v>17.47</v>
      </c>
      <c r="H170" s="19" t="str">
        <f>TRUNC(G170 * (1 + 23.44 / 100), 2)</f>
      </c>
      <c r="I170" s="19" t="str">
        <f>TRUNC(F170 * h170, 2)</f>
      </c>
    </row>
    <row customHeight="1" ht="39" r="171">
      <c r="A171" s="16" t="inlineStr">
        <is>
          <t> 14.22 </t>
        </is>
      </c>
      <c r="B171" s="18" t="inlineStr">
        <is>
          <t> 89712 </t>
        </is>
      </c>
      <c r="C171" s="16" t="inlineStr">
        <is>
          <t>SINAPI</t>
        </is>
      </c>
      <c r="D171" s="16" t="inlineStr">
        <is>
          <t>TUBO PVC, SERIE NORMAL, ESGOTO PREDIAL, DN 50 MM, FORNECIDO E INSTALADO EM RAMAL DE DESCARGA OU RAMAL DE ESGOTO SANITÁRIO. AF_12/2014</t>
        </is>
      </c>
      <c r="E171" s="17" t="inlineStr">
        <is>
          <t>M</t>
        </is>
      </c>
      <c r="F171" s="18" t="n">
        <v>19.2</v>
      </c>
      <c r="G171" s="19" t="n">
        <v>23.03</v>
      </c>
      <c r="H171" s="19" t="str">
        <f>TRUNC(G171 * (1 + 23.44 / 100), 2)</f>
      </c>
      <c r="I171" s="19" t="str">
        <f>TRUNC(F171 * h171, 2)</f>
      </c>
    </row>
    <row customHeight="1" ht="39" r="172">
      <c r="A172" s="16" t="inlineStr">
        <is>
          <t> 14.23 </t>
        </is>
      </c>
      <c r="B172" s="18" t="inlineStr">
        <is>
          <t> 89713 </t>
        </is>
      </c>
      <c r="C172" s="16" t="inlineStr">
        <is>
          <t>SINAPI</t>
        </is>
      </c>
      <c r="D172" s="16" t="inlineStr">
        <is>
          <t>TUBO PVC, SERIE NORMAL, ESGOTO PREDIAL, DN 75 MM, FORNECIDO E INSTALADO EM RAMAL DE DESCARGA OU RAMAL DE ESGOTO SANITÁRIO. AF_12/2014</t>
        </is>
      </c>
      <c r="E172" s="17" t="inlineStr">
        <is>
          <t>M</t>
        </is>
      </c>
      <c r="F172" s="18" t="n">
        <v>4.9</v>
      </c>
      <c r="G172" s="19" t="n">
        <v>28.93</v>
      </c>
      <c r="H172" s="19" t="str">
        <f>TRUNC(G172 * (1 + 23.44 / 100), 2)</f>
      </c>
      <c r="I172" s="19" t="str">
        <f>TRUNC(F172 * h172, 2)</f>
      </c>
    </row>
    <row customHeight="1" ht="26" r="173">
      <c r="A173" s="16" t="inlineStr">
        <is>
          <t> 14.24 </t>
        </is>
      </c>
      <c r="B173" s="18" t="inlineStr">
        <is>
          <t> CIVIL.INHI.63 </t>
        </is>
      </c>
      <c r="C173" s="16" t="inlineStr">
        <is>
          <t>Próprio</t>
        </is>
      </c>
      <c r="D173" s="16" t="inlineStr">
        <is>
          <t>Bucha de redução curta de pvc rígido soldável, marrom, diâm = 40 x 32mm (ref. 1073/ORSE)</t>
        </is>
      </c>
      <c r="E173" s="17" t="inlineStr">
        <is>
          <t>un</t>
        </is>
      </c>
      <c r="F173" s="18" t="n">
        <v>2.0</v>
      </c>
      <c r="G173" s="19" t="n">
        <v>6.36</v>
      </c>
      <c r="H173" s="19" t="str">
        <f>TRUNC(G173 * (1 + 23.44 / 100), 2)</f>
      </c>
      <c r="I173" s="19" t="str">
        <f>TRUNC(F173 * h173, 2)</f>
      </c>
    </row>
    <row customHeight="1" ht="52" r="174">
      <c r="A174" s="16" t="inlineStr">
        <is>
          <t> 14.25 </t>
        </is>
      </c>
      <c r="B174" s="18" t="inlineStr">
        <is>
          <t> 104335 </t>
        </is>
      </c>
      <c r="C174" s="16" t="inlineStr">
        <is>
          <t>SINAPI</t>
        </is>
      </c>
      <c r="D174" s="16" t="inlineStr">
        <is>
          <t>CURVA PVC LONGA 45G, PVC, SÉRIE NORMAL, ESGOTO PREDIAL, DN 50 MM, JUNTA ELÁSTICA, FORNECIDO E INSTALADO EM PRUMADA DE ESGOTO SANITÁRIO OU VENTILAÇÃO. AF_08/2022</t>
        </is>
      </c>
      <c r="E174" s="17" t="inlineStr">
        <is>
          <t>UN</t>
        </is>
      </c>
      <c r="F174" s="18" t="n">
        <v>1.0</v>
      </c>
      <c r="G174" s="19" t="n">
        <v>19.1</v>
      </c>
      <c r="H174" s="19" t="str">
        <f>TRUNC(G174 * (1 + 23.44 / 100), 2)</f>
      </c>
      <c r="I174" s="19" t="str">
        <f>TRUNC(F174 * h174, 2)</f>
      </c>
    </row>
    <row customHeight="1" ht="52" r="175">
      <c r="A175" s="16" t="inlineStr">
        <is>
          <t> 14.26 </t>
        </is>
      </c>
      <c r="B175" s="18" t="inlineStr">
        <is>
          <t> 89801 </t>
        </is>
      </c>
      <c r="C175" s="16" t="inlineStr">
        <is>
          <t>SINAPI</t>
        </is>
      </c>
      <c r="D175" s="16" t="inlineStr">
        <is>
          <t>JOELHO 90 GRAUS, PVC, SERIE NORMAL, ESGOTO PREDIAL, DN 50 MM, JUNTA ELÁSTICA, FORNECIDO E INSTALADO EM PRUMADA DE ESGOTO SANITÁRIO OU VENTILAÇÃO. AF_08/2022</t>
        </is>
      </c>
      <c r="E175" s="17" t="inlineStr">
        <is>
          <t>UN</t>
        </is>
      </c>
      <c r="F175" s="18" t="n">
        <v>3.0</v>
      </c>
      <c r="G175" s="19" t="n">
        <v>9.43</v>
      </c>
      <c r="H175" s="19" t="str">
        <f>TRUNC(G175 * (1 + 23.44 / 100), 2)</f>
      </c>
      <c r="I175" s="19" t="str">
        <f>TRUNC(F175 * h175, 2)</f>
      </c>
    </row>
    <row customHeight="1" ht="52" r="176">
      <c r="A176" s="16" t="inlineStr">
        <is>
          <t> 14.27 </t>
        </is>
      </c>
      <c r="B176" s="18" t="inlineStr">
        <is>
          <t> 104348 </t>
        </is>
      </c>
      <c r="C176" s="16" t="inlineStr">
        <is>
          <t>SINAPI</t>
        </is>
      </c>
      <c r="D176" s="16" t="inlineStr">
        <is>
          <t>TERMINAL DE VENTILAÇÃO, PVC, SÉRIE NORMAL, ESGOTO PREDIAL, DN 50 MM, JUNTA SOLDÁVEL, FORNECIDO E INSTALADO EM PRUMADA DE ESGOTO SANITÁRIO OU VENTILAÇÃO. AF_08/2022</t>
        </is>
      </c>
      <c r="E176" s="17" t="inlineStr">
        <is>
          <t>UN</t>
        </is>
      </c>
      <c r="F176" s="18" t="n">
        <v>2.0</v>
      </c>
      <c r="G176" s="19" t="n">
        <v>10.92</v>
      </c>
      <c r="H176" s="19" t="str">
        <f>TRUNC(G176 * (1 + 23.44 / 100), 2)</f>
      </c>
      <c r="I176" s="19" t="str">
        <f>TRUNC(F176 * h176, 2)</f>
      </c>
    </row>
    <row customHeight="1" ht="39" r="177">
      <c r="A177" s="16" t="inlineStr">
        <is>
          <t> 14.28 </t>
        </is>
      </c>
      <c r="B177" s="18" t="inlineStr">
        <is>
          <t> 89798 </t>
        </is>
      </c>
      <c r="C177" s="16" t="inlineStr">
        <is>
          <t>SINAPI</t>
        </is>
      </c>
      <c r="D177" s="16" t="inlineStr">
        <is>
          <t>TUBO PVC, SERIE NORMAL, ESGOTO PREDIAL, DN 50 MM, FORNECIDO E INSTALADO EM PRUMADA DE ESGOTO SANITÁRIO OU VENTILAÇÃO. AF_08/2022</t>
        </is>
      </c>
      <c r="E177" s="17" t="inlineStr">
        <is>
          <t>M</t>
        </is>
      </c>
      <c r="F177" s="18" t="n">
        <v>8.4</v>
      </c>
      <c r="G177" s="19" t="n">
        <v>13.28</v>
      </c>
      <c r="H177" s="19" t="str">
        <f>TRUNC(G177 * (1 + 23.44 / 100), 2)</f>
      </c>
      <c r="I177" s="19" t="str">
        <f>TRUNC(F177 * h177, 2)</f>
      </c>
    </row>
    <row customHeight="1" ht="39" r="178">
      <c r="A178" s="16" t="inlineStr">
        <is>
          <t> 14.29 </t>
        </is>
      </c>
      <c r="B178" s="18" t="inlineStr">
        <is>
          <t> 89825 </t>
        </is>
      </c>
      <c r="C178" s="16" t="inlineStr">
        <is>
          <t>SINAPI</t>
        </is>
      </c>
      <c r="D178" s="16" t="inlineStr">
        <is>
          <t>TE, PVC, SERIE NORMAL, ESGOTO PREDIAL, DN 50 X 50 MM, JUNTA ELÁSTICA, FORNECIDO E INSTALADO EM PRUMADA DE ESGOTO SANITÁRIO OU VENTILAÇÃO. AF_08/2022</t>
        </is>
      </c>
      <c r="E178" s="17" t="inlineStr">
        <is>
          <t>UN</t>
        </is>
      </c>
      <c r="F178" s="18" t="n">
        <v>3.0</v>
      </c>
      <c r="G178" s="19" t="n">
        <v>16.98</v>
      </c>
      <c r="H178" s="19" t="str">
        <f>TRUNC(G178 * (1 + 23.44 / 100), 2)</f>
      </c>
      <c r="I178" s="19" t="str">
        <f>TRUNC(F178 * h178, 2)</f>
      </c>
    </row>
    <row customHeight="1" ht="39" r="179">
      <c r="A179" s="16" t="inlineStr">
        <is>
          <t> 14.30 </t>
        </is>
      </c>
      <c r="B179" s="18" t="inlineStr">
        <is>
          <t> 104349 </t>
        </is>
      </c>
      <c r="C179" s="16" t="inlineStr">
        <is>
          <t>SINAPI</t>
        </is>
      </c>
      <c r="D179" s="16" t="inlineStr">
        <is>
          <t>TE, PVC, SÉRIE NORMAL, ESGOTO PREDIAL, DN 75 X 50 MM, JUNTA ELÁSTICA, FORNECIDO E INSTALADO EM PRUMADA DE ESGOTO SANITÁRIO OU VENTILAÇÃO. AF_08/2022</t>
        </is>
      </c>
      <c r="E179" s="17" t="inlineStr">
        <is>
          <t>UN</t>
        </is>
      </c>
      <c r="F179" s="18" t="n">
        <v>1.0</v>
      </c>
      <c r="G179" s="19" t="n">
        <v>30.29</v>
      </c>
      <c r="H179" s="19" t="str">
        <f>TRUNC(G179 * (1 + 23.44 / 100), 2)</f>
      </c>
      <c r="I179" s="19" t="str">
        <f>TRUNC(F179 * h179, 2)</f>
      </c>
    </row>
    <row customHeight="1" ht="39" r="180">
      <c r="A180" s="16" t="inlineStr">
        <is>
          <t> 14.31 </t>
        </is>
      </c>
      <c r="B180" s="18" t="inlineStr">
        <is>
          <t> 94792 </t>
        </is>
      </c>
      <c r="C180" s="16" t="inlineStr">
        <is>
          <t>SINAPI</t>
        </is>
      </c>
      <c r="D180" s="16" t="inlineStr">
        <is>
          <t>REGISTRO DE GAVETA BRUTO, LATÃO, ROSCÁVEL, 1", COM ACABAMENTO E CANOPLA CROMADOS - FORNECIMENTO E INSTALAÇÃO. AF_08/2021</t>
        </is>
      </c>
      <c r="E180" s="17" t="inlineStr">
        <is>
          <t>UN</t>
        </is>
      </c>
      <c r="F180" s="18" t="n">
        <v>2.0</v>
      </c>
      <c r="G180" s="19" t="n">
        <v>119.39</v>
      </c>
      <c r="H180" s="19" t="str">
        <f>TRUNC(G180 * (1 + 23.44 / 100), 2)</f>
      </c>
      <c r="I180" s="19" t="str">
        <f>TRUNC(F180 * h180, 2)</f>
      </c>
    </row>
    <row customHeight="1" ht="39" r="181">
      <c r="A181" s="16" t="inlineStr">
        <is>
          <t> 14.32 </t>
        </is>
      </c>
      <c r="B181" s="18" t="inlineStr">
        <is>
          <t> 89987 </t>
        </is>
      </c>
      <c r="C181" s="16" t="inlineStr">
        <is>
          <t>SINAPI</t>
        </is>
      </c>
      <c r="D181" s="16" t="inlineStr">
        <is>
          <t>REGISTRO DE GAVETA BRUTO, LATÃO, ROSCÁVEL, 3/4", COM ACABAMENTO E CANOPLA CROMADOS - FORNECIMENTO E INSTALAÇÃO. AF_08/2021</t>
        </is>
      </c>
      <c r="E181" s="17" t="inlineStr">
        <is>
          <t>UN</t>
        </is>
      </c>
      <c r="F181" s="18" t="n">
        <v>10.0</v>
      </c>
      <c r="G181" s="19" t="n">
        <v>97.86</v>
      </c>
      <c r="H181" s="19" t="str">
        <f>TRUNC(G181 * (1 + 23.44 / 100), 2)</f>
      </c>
      <c r="I181" s="19" t="str">
        <f>TRUNC(F181 * h181, 2)</f>
      </c>
    </row>
    <row customHeight="1" ht="26" r="182">
      <c r="A182" s="16" t="inlineStr">
        <is>
          <t> 14.33 </t>
        </is>
      </c>
      <c r="B182" s="18" t="inlineStr">
        <is>
          <t> 86884 </t>
        </is>
      </c>
      <c r="C182" s="16" t="inlineStr">
        <is>
          <t>SINAPI</t>
        </is>
      </c>
      <c r="D182" s="16" t="inlineStr">
        <is>
          <t>ENGATE FLEXÍVEL EM PLÁSTICO BRANCO, 1/2 X 30CM - FORNECIMENTO E INSTALAÇÃO. AF_01/2020</t>
        </is>
      </c>
      <c r="E182" s="17" t="inlineStr">
        <is>
          <t>UN</t>
        </is>
      </c>
      <c r="F182" s="18" t="n">
        <v>8.0</v>
      </c>
      <c r="G182" s="19" t="n">
        <v>9.77</v>
      </c>
      <c r="H182" s="19" t="str">
        <f>TRUNC(G182 * (1 + 23.44 / 100), 2)</f>
      </c>
      <c r="I182" s="19" t="str">
        <f>TRUNC(F182 * h182, 2)</f>
      </c>
    </row>
    <row customHeight="1" ht="26" r="183">
      <c r="A183" s="16" t="inlineStr">
        <is>
          <t> 14.34 </t>
        </is>
      </c>
      <c r="B183" s="18" t="inlineStr">
        <is>
          <t> 86886 </t>
        </is>
      </c>
      <c r="C183" s="16" t="inlineStr">
        <is>
          <t>SINAPI</t>
        </is>
      </c>
      <c r="D183" s="16" t="inlineStr">
        <is>
          <t>ENGATE FLEXÍVEL EM INOX, 1/2  X 30CM - FORNECIMENTO E INSTALAÇÃO. AF_01/2020</t>
        </is>
      </c>
      <c r="E183" s="17" t="inlineStr">
        <is>
          <t>UN</t>
        </is>
      </c>
      <c r="F183" s="18" t="n">
        <v>3.0</v>
      </c>
      <c r="G183" s="19" t="n">
        <v>41.66</v>
      </c>
      <c r="H183" s="19" t="str">
        <f>TRUNC(G183 * (1 + 23.44 / 100), 2)</f>
      </c>
      <c r="I183" s="19" t="str">
        <f>TRUNC(F183 * h183, 2)</f>
      </c>
    </row>
    <row customHeight="1" ht="26" r="184">
      <c r="A184" s="16" t="inlineStr">
        <is>
          <t> 14.35 </t>
        </is>
      </c>
      <c r="B184" s="18" t="inlineStr">
        <is>
          <t> CIVIL.INHI.49 </t>
        </is>
      </c>
      <c r="C184" s="16" t="inlineStr">
        <is>
          <t>Próprio</t>
        </is>
      </c>
      <c r="D184" s="16" t="inlineStr">
        <is>
          <t>Joelho 90° pvc rígido soldável e c/rosca, diam = 25mm x 1/2" (REF.: 10226/ORSE)</t>
        </is>
      </c>
      <c r="E184" s="17" t="inlineStr">
        <is>
          <t>und</t>
        </is>
      </c>
      <c r="F184" s="18" t="n">
        <v>3.0</v>
      </c>
      <c r="G184" s="19" t="n">
        <v>9.68</v>
      </c>
      <c r="H184" s="19" t="str">
        <f>TRUNC(G184 * (1 + 23.44 / 100), 2)</f>
      </c>
      <c r="I184" s="19" t="str">
        <f>TRUNC(F184 * h184, 2)</f>
      </c>
    </row>
    <row customHeight="1" ht="26" r="185">
      <c r="A185" s="16" t="inlineStr">
        <is>
          <t> 14.36 </t>
        </is>
      </c>
      <c r="B185" s="18" t="inlineStr">
        <is>
          <t> CIVIL.INHI.74 </t>
        </is>
      </c>
      <c r="C185" s="16" t="inlineStr">
        <is>
          <t>Próprio</t>
        </is>
      </c>
      <c r="D185" s="16" t="inlineStr">
        <is>
          <t>Joelho 90° pvc rígido soldável e c/rosca, diam = 32mm x 3/4" (REF. 10231/ORSE)</t>
        </is>
      </c>
      <c r="E185" s="17" t="inlineStr">
        <is>
          <t>un</t>
        </is>
      </c>
      <c r="F185" s="18" t="n">
        <v>1.0</v>
      </c>
      <c r="G185" s="19" t="n">
        <v>20.0</v>
      </c>
      <c r="H185" s="19" t="str">
        <f>TRUNC(G185 * (1 + 23.44 / 100), 2)</f>
      </c>
      <c r="I185" s="19" t="str">
        <f>TRUNC(F185 * h185, 2)</f>
      </c>
    </row>
    <row customHeight="1" ht="65" r="186">
      <c r="A186" s="16" t="inlineStr">
        <is>
          <t> 14.37 </t>
        </is>
      </c>
      <c r="B186" s="18" t="inlineStr">
        <is>
          <t> 94704 </t>
        </is>
      </c>
      <c r="C186" s="16" t="inlineStr">
        <is>
          <t>SINAPI</t>
        </is>
      </c>
      <c r="D186" s="16" t="inlineStr">
        <is>
          <t>ADAPTADOR COM FLANGE E ANEL DE VEDAÇÃO, PVC, SOLDÁVEL, DN 32 MM X 1 , INSTALADO EM RESERVAÇÃO DE ÁGUA DE EDIFICAÇÃO QUE POSSUA RESERVATÓRIO DE FIBRA/FIBROCIMENTO   FORNECIMENTO E INSTALAÇÃO. AF_06/2016</t>
        </is>
      </c>
      <c r="E186" s="17" t="inlineStr">
        <is>
          <t>UN</t>
        </is>
      </c>
      <c r="F186" s="18" t="n">
        <v>1.0</v>
      </c>
      <c r="G186" s="19" t="n">
        <v>27.08</v>
      </c>
      <c r="H186" s="19" t="str">
        <f>TRUNC(G186 * (1 + 23.44 / 100), 2)</f>
      </c>
      <c r="I186" s="19" t="str">
        <f>TRUNC(F186 * h186, 2)</f>
      </c>
    </row>
    <row customHeight="1" ht="52" r="187">
      <c r="A187" s="16" t="inlineStr">
        <is>
          <t> 14.38 </t>
        </is>
      </c>
      <c r="B187" s="18" t="inlineStr">
        <is>
          <t> 89383 </t>
        </is>
      </c>
      <c r="C187" s="16" t="inlineStr">
        <is>
          <t>SINAPI</t>
        </is>
      </c>
      <c r="D187" s="16" t="inlineStr">
        <is>
          <t>ADAPTADOR CURTO COM BOLSA E ROSCA PARA REGISTRO, PVC, SOLDÁVEL, DN 25MM X 3/4 , INSTALADO EM RAMAL OU SUB-RAMAL DE ÁGUA - FORNECIMENTO E INSTALAÇÃO. AF_06/2022</t>
        </is>
      </c>
      <c r="E187" s="17" t="inlineStr">
        <is>
          <t>UN</t>
        </is>
      </c>
      <c r="F187" s="18" t="n">
        <v>20.0</v>
      </c>
      <c r="G187" s="19" t="n">
        <v>5.08</v>
      </c>
      <c r="H187" s="19" t="str">
        <f>TRUNC(G187 * (1 + 23.44 / 100), 2)</f>
      </c>
      <c r="I187" s="19" t="str">
        <f>TRUNC(F187 * h187, 2)</f>
      </c>
    </row>
    <row customHeight="1" ht="52" r="188">
      <c r="A188" s="16" t="inlineStr">
        <is>
          <t> 14.39 </t>
        </is>
      </c>
      <c r="B188" s="18" t="inlineStr">
        <is>
          <t> 89391 </t>
        </is>
      </c>
      <c r="C188" s="16" t="inlineStr">
        <is>
          <t>SINAPI</t>
        </is>
      </c>
      <c r="D188" s="16" t="inlineStr">
        <is>
          <t>ADAPTADOR CURTO COM BOLSA E ROSCA PARA REGISTRO, PVC, SOLDÁVEL, DN 32MM X 1 , INSTALADO EM RAMAL OU SUB-RAMAL DE ÁGUA - FORNECIMENTO E INSTALAÇÃO. AF_06/2022</t>
        </is>
      </c>
      <c r="E188" s="17" t="inlineStr">
        <is>
          <t>UN</t>
        </is>
      </c>
      <c r="F188" s="18" t="n">
        <v>4.0</v>
      </c>
      <c r="G188" s="19" t="n">
        <v>6.96</v>
      </c>
      <c r="H188" s="19" t="str">
        <f>TRUNC(G188 * (1 + 23.44 / 100), 2)</f>
      </c>
      <c r="I188" s="19" t="str">
        <f>TRUNC(F188 * h188, 2)</f>
      </c>
    </row>
    <row customHeight="1" ht="39" r="189">
      <c r="A189" s="16" t="inlineStr">
        <is>
          <t> 14.40 </t>
        </is>
      </c>
      <c r="B189" s="18" t="inlineStr">
        <is>
          <t> 103948 </t>
        </is>
      </c>
      <c r="C189" s="16" t="inlineStr">
        <is>
          <t>SINAPI</t>
        </is>
      </c>
      <c r="D189" s="16" t="inlineStr">
        <is>
          <t>BUCHA DE REDUÇÃO, CURTA, PVC, SOLDÁVEL, DN 32 X 25 MM, INSTALADO EM RAMAL OU SUB-RAMAL DE ÁGUA - FORNECIMENTO E INSTALAÇÃO. AF_06/2022</t>
        </is>
      </c>
      <c r="E189" s="17" t="inlineStr">
        <is>
          <t>UN</t>
        </is>
      </c>
      <c r="F189" s="18" t="n">
        <v>1.0</v>
      </c>
      <c r="G189" s="19" t="n">
        <v>6.02</v>
      </c>
      <c r="H189" s="19" t="str">
        <f>TRUNC(G189 * (1 + 23.44 / 100), 2)</f>
      </c>
      <c r="I189" s="19" t="str">
        <f>TRUNC(F189 * h189, 2)</f>
      </c>
    </row>
    <row customHeight="1" ht="39" r="190">
      <c r="A190" s="16" t="inlineStr">
        <is>
          <t> 14.41 </t>
        </is>
      </c>
      <c r="B190" s="18" t="inlineStr">
        <is>
          <t> 89364 </t>
        </is>
      </c>
      <c r="C190" s="16" t="inlineStr">
        <is>
          <t>SINAPI</t>
        </is>
      </c>
      <c r="D190" s="16" t="inlineStr">
        <is>
          <t>CURVA 90 GRAUS, PVC, SOLDÁVEL, DN 25MM, INSTALADO EM RAMAL OU SUB-RAMAL DE ÁGUA - FORNECIMENTO E INSTALAÇÃO. AF_06/2022</t>
        </is>
      </c>
      <c r="E190" s="17" t="inlineStr">
        <is>
          <t>UN</t>
        </is>
      </c>
      <c r="F190" s="18" t="n">
        <v>2.0</v>
      </c>
      <c r="G190" s="19" t="n">
        <v>9.61</v>
      </c>
      <c r="H190" s="19" t="str">
        <f>TRUNC(G190 * (1 + 23.44 / 100), 2)</f>
      </c>
      <c r="I190" s="19" t="str">
        <f>TRUNC(F190 * h190, 2)</f>
      </c>
    </row>
    <row customHeight="1" ht="39" r="191">
      <c r="A191" s="16" t="inlineStr">
        <is>
          <t> 14.42 </t>
        </is>
      </c>
      <c r="B191" s="18" t="inlineStr">
        <is>
          <t> 89369 </t>
        </is>
      </c>
      <c r="C191" s="16" t="inlineStr">
        <is>
          <t>SINAPI</t>
        </is>
      </c>
      <c r="D191" s="16" t="inlineStr">
        <is>
          <t>CURVA 90 GRAUS, PVC, SOLDÁVEL, DN 32MM, INSTALADO EM RAMAL OU SUB-RAMAL DE ÁGUA - FORNECIMENTO E INSTALAÇÃO. AF_06/2022</t>
        </is>
      </c>
      <c r="E191" s="17" t="inlineStr">
        <is>
          <t>UN</t>
        </is>
      </c>
      <c r="F191" s="18" t="n">
        <v>17.0</v>
      </c>
      <c r="G191" s="19" t="n">
        <v>14.84</v>
      </c>
      <c r="H191" s="19" t="str">
        <f>TRUNC(G191 * (1 + 23.44 / 100), 2)</f>
      </c>
      <c r="I191" s="19" t="str">
        <f>TRUNC(F191 * h191, 2)</f>
      </c>
    </row>
    <row customHeight="1" ht="39" r="192">
      <c r="A192" s="16" t="inlineStr">
        <is>
          <t> 14.43 </t>
        </is>
      </c>
      <c r="B192" s="18" t="inlineStr">
        <is>
          <t> 89362 </t>
        </is>
      </c>
      <c r="C192" s="16" t="inlineStr">
        <is>
          <t>SINAPI</t>
        </is>
      </c>
      <c r="D192" s="16" t="inlineStr">
        <is>
          <t>JOELHO 90 GRAUS, PVC, SOLDÁVEL, DN 25MM, INSTALADO EM RAMAL OU SUB-RAMAL DE ÁGUA - FORNECIMENTO E INSTALAÇÃO. AF_06/2022</t>
        </is>
      </c>
      <c r="E192" s="17" t="inlineStr">
        <is>
          <t>UN</t>
        </is>
      </c>
      <c r="F192" s="18" t="n">
        <v>20.0</v>
      </c>
      <c r="G192" s="19" t="n">
        <v>7.07</v>
      </c>
      <c r="H192" s="19" t="str">
        <f>TRUNC(G192 * (1 + 23.44 / 100), 2)</f>
      </c>
      <c r="I192" s="19" t="str">
        <f>TRUNC(F192 * h192, 2)</f>
      </c>
    </row>
    <row customHeight="1" ht="39" r="193">
      <c r="A193" s="16" t="inlineStr">
        <is>
          <t> 14.44 </t>
        </is>
      </c>
      <c r="B193" s="18" t="inlineStr">
        <is>
          <t> 103951 </t>
        </is>
      </c>
      <c r="C193" s="16" t="inlineStr">
        <is>
          <t>SINAPI</t>
        </is>
      </c>
      <c r="D193" s="16" t="inlineStr">
        <is>
          <t>JOELHO DE REDUÇÃO, 90 GRAUS, PVC, SOLDÁVEL, DN 32 MM X 25 MM, INSTALADO EM RAMAL OU SUB-RAMAL DE ÁGUA - FORNECIMENTO E INSTALAÇÃO. AF_06/2022</t>
        </is>
      </c>
      <c r="E193" s="17" t="inlineStr">
        <is>
          <t>UN</t>
        </is>
      </c>
      <c r="F193" s="18" t="n">
        <v>9.0</v>
      </c>
      <c r="G193" s="19" t="n">
        <v>12.73</v>
      </c>
      <c r="H193" s="19" t="str">
        <f>TRUNC(G193 * (1 + 23.44 / 100), 2)</f>
      </c>
      <c r="I193" s="19" t="str">
        <f>TRUNC(F193 * h193, 2)</f>
      </c>
    </row>
    <row customHeight="1" ht="39" r="194">
      <c r="A194" s="16" t="inlineStr">
        <is>
          <t> 14.45 </t>
        </is>
      </c>
      <c r="B194" s="18" t="inlineStr">
        <is>
          <t> 89356 </t>
        </is>
      </c>
      <c r="C194" s="16" t="inlineStr">
        <is>
          <t>SINAPI</t>
        </is>
      </c>
      <c r="D194" s="16" t="inlineStr">
        <is>
          <t>TUBO, PVC, SOLDÁVEL, DN 25MM, INSTALADO EM RAMAL OU SUB-RAMAL DE ÁGUA - FORNECIMENTO E INSTALAÇÃO. AF_06/2022</t>
        </is>
      </c>
      <c r="E194" s="17" t="inlineStr">
        <is>
          <t>M</t>
        </is>
      </c>
      <c r="F194" s="18" t="n">
        <v>49.0</v>
      </c>
      <c r="G194" s="19" t="n">
        <v>18.44</v>
      </c>
      <c r="H194" s="19" t="str">
        <f>TRUNC(G194 * (1 + 23.44 / 100), 2)</f>
      </c>
      <c r="I194" s="19" t="str">
        <f>TRUNC(F194 * h194, 2)</f>
      </c>
    </row>
    <row customHeight="1" ht="39" r="195">
      <c r="A195" s="16" t="inlineStr">
        <is>
          <t> 14.46 </t>
        </is>
      </c>
      <c r="B195" s="18" t="inlineStr">
        <is>
          <t> 89357 </t>
        </is>
      </c>
      <c r="C195" s="16" t="inlineStr">
        <is>
          <t>SINAPI</t>
        </is>
      </c>
      <c r="D195" s="16" t="inlineStr">
        <is>
          <t>TUBO, PVC, SOLDÁVEL, DN 32MM, INSTALADO EM RAMAL OU SUB-RAMAL DE ÁGUA - FORNECIMENTO E INSTALAÇÃO. AF_06/2022</t>
        </is>
      </c>
      <c r="E195" s="17" t="inlineStr">
        <is>
          <t>M</t>
        </is>
      </c>
      <c r="F195" s="18" t="n">
        <v>89.3</v>
      </c>
      <c r="G195" s="19" t="n">
        <v>26.71</v>
      </c>
      <c r="H195" s="19" t="str">
        <f>TRUNC(G195 * (1 + 23.44 / 100), 2)</f>
      </c>
      <c r="I195" s="19" t="str">
        <f>TRUNC(F195 * h195, 2)</f>
      </c>
    </row>
    <row customHeight="1" ht="39" r="196">
      <c r="A196" s="16" t="inlineStr">
        <is>
          <t> 14.47 </t>
        </is>
      </c>
      <c r="B196" s="18" t="inlineStr">
        <is>
          <t> 89395 </t>
        </is>
      </c>
      <c r="C196" s="16" t="inlineStr">
        <is>
          <t>SINAPI</t>
        </is>
      </c>
      <c r="D196" s="16" t="inlineStr">
        <is>
          <t>TE, PVC, SOLDÁVEL, DN 25MM, INSTALADO EM RAMAL OU SUB-RAMAL DE ÁGUA - FORNECIMENTO E INSTALAÇÃO. AF_06/2022</t>
        </is>
      </c>
      <c r="E196" s="17" t="inlineStr">
        <is>
          <t>UN</t>
        </is>
      </c>
      <c r="F196" s="18" t="n">
        <v>8.0</v>
      </c>
      <c r="G196" s="19" t="n">
        <v>9.84</v>
      </c>
      <c r="H196" s="19" t="str">
        <f>TRUNC(G196 * (1 + 23.44 / 100), 2)</f>
      </c>
      <c r="I196" s="19" t="str">
        <f>TRUNC(F196 * h196, 2)</f>
      </c>
    </row>
    <row customHeight="1" ht="39" r="197">
      <c r="A197" s="16" t="inlineStr">
        <is>
          <t> 14.48 </t>
        </is>
      </c>
      <c r="B197" s="18" t="inlineStr">
        <is>
          <t> 89398 </t>
        </is>
      </c>
      <c r="C197" s="16" t="inlineStr">
        <is>
          <t>SINAPI</t>
        </is>
      </c>
      <c r="D197" s="16" t="inlineStr">
        <is>
          <t>TE, PVC, SOLDÁVEL, DN 32MM, INSTALADO EM RAMAL OU SUB-RAMAL DE ÁGUA - FORNECIMENTO E INSTALAÇÃO. AF_06/2022</t>
        </is>
      </c>
      <c r="E197" s="17" t="inlineStr">
        <is>
          <t>UN</t>
        </is>
      </c>
      <c r="F197" s="18" t="n">
        <v>10.0</v>
      </c>
      <c r="G197" s="19" t="n">
        <v>14.57</v>
      </c>
      <c r="H197" s="19" t="str">
        <f>TRUNC(G197 * (1 + 23.44 / 100), 2)</f>
      </c>
      <c r="I197" s="19" t="str">
        <f>TRUNC(F197 * h197, 2)</f>
      </c>
    </row>
    <row customHeight="1" ht="39" r="198">
      <c r="A198" s="16" t="inlineStr">
        <is>
          <t> 14.49 </t>
        </is>
      </c>
      <c r="B198" s="18" t="inlineStr">
        <is>
          <t> 89400 </t>
        </is>
      </c>
      <c r="C198" s="16" t="inlineStr">
        <is>
          <t>SINAPI</t>
        </is>
      </c>
      <c r="D198" s="16" t="inlineStr">
        <is>
          <t>TÊ DE REDUÇÃO, PVC, SOLDÁVEL, DN 32MM X 25MM, INSTALADO EM RAMAL OU SUB-RAMAL DE ÁGUA - FORNECIMENTO E INSTALAÇÃO. AF_06/2022</t>
        </is>
      </c>
      <c r="E198" s="17" t="inlineStr">
        <is>
          <t>UN</t>
        </is>
      </c>
      <c r="F198" s="18" t="n">
        <v>2.0</v>
      </c>
      <c r="G198" s="19" t="n">
        <v>16.93</v>
      </c>
      <c r="H198" s="19" t="str">
        <f>TRUNC(G198 * (1 + 23.44 / 100), 2)</f>
      </c>
      <c r="I198" s="19" t="str">
        <f>TRUNC(F198 * h198, 2)</f>
      </c>
    </row>
    <row customHeight="1" ht="39" r="199">
      <c r="A199" s="16" t="inlineStr">
        <is>
          <t> 14.50 </t>
        </is>
      </c>
      <c r="B199" s="18" t="inlineStr">
        <is>
          <t> 90373 </t>
        </is>
      </c>
      <c r="C199" s="16" t="inlineStr">
        <is>
          <t>SINAPI</t>
        </is>
      </c>
      <c r="D199" s="16" t="inlineStr">
        <is>
          <t>JOELHO 90 GRAUS COM BUCHA DE LATÃO, PVC, SOLDÁVEL, DN 25MM, X 1/2  INSTALADO EM RAMAL OU SUB-RAMAL DE ÁGUA - FORNECIMENTO E INSTALAÇÃO. AF_06/2022</t>
        </is>
      </c>
      <c r="E199" s="17" t="inlineStr">
        <is>
          <t>UN</t>
        </is>
      </c>
      <c r="F199" s="18" t="n">
        <v>11.0</v>
      </c>
      <c r="G199" s="19" t="n">
        <v>11.41</v>
      </c>
      <c r="H199" s="19" t="str">
        <f>TRUNC(G199 * (1 + 23.44 / 100), 2)</f>
      </c>
      <c r="I199" s="19" t="str">
        <f>TRUNC(F199 * h199, 2)</f>
      </c>
    </row>
    <row customHeight="1" ht="65" r="200">
      <c r="A200" s="16" t="inlineStr">
        <is>
          <t> 14.51 </t>
        </is>
      </c>
      <c r="B200" s="18" t="inlineStr">
        <is>
          <t> 94672 </t>
        </is>
      </c>
      <c r="C200" s="16" t="inlineStr">
        <is>
          <t>SINAPI</t>
        </is>
      </c>
      <c r="D200" s="16" t="inlineStr">
        <is>
          <t>JOELHO 90 GRAUS COM BUCHA DE LATÃO, PVC, SOLDÁVEL, DN  25 MM, X 3/4 INSTALADO EM RESERVAÇÃO DE ÁGUA DE EDIFICAÇÃO QUE POSSUA RESERVATÓRIO DE FIBRA/FIBROCIMENTO   FORNECIMENTO E INSTALAÇÃO. AF_06/2016</t>
        </is>
      </c>
      <c r="E200" s="17" t="inlineStr">
        <is>
          <t>UN</t>
        </is>
      </c>
      <c r="F200" s="18" t="n">
        <v>4.0</v>
      </c>
      <c r="G200" s="19" t="n">
        <v>8.25</v>
      </c>
      <c r="H200" s="19" t="str">
        <f>TRUNC(G200 * (1 + 23.44 / 100), 2)</f>
      </c>
      <c r="I200" s="19" t="str">
        <f>TRUNC(F200 * h200, 2)</f>
      </c>
    </row>
    <row customHeight="1" ht="24" r="201">
      <c r="A201" s="8" t="inlineStr">
        <is>
          <t> 15 </t>
        </is>
      </c>
      <c r="B201" s="8"/>
      <c r="C201" s="8"/>
      <c r="D201" s="8" t="inlineStr">
        <is>
          <t>ADMINISTRAÇÃO LOCAL</t>
        </is>
      </c>
      <c r="E201" s="8"/>
      <c r="F201" s="10"/>
      <c r="G201" s="8"/>
      <c r="H201" s="8"/>
      <c r="I201" s="11" t="n">
        <v>44253.72</v>
      </c>
    </row>
    <row customHeight="1" ht="24" r="202">
      <c r="A202" s="16" t="inlineStr">
        <is>
          <t> 15.1 </t>
        </is>
      </c>
      <c r="B202" s="18" t="inlineStr">
        <is>
          <t> 94295 </t>
        </is>
      </c>
      <c r="C202" s="16" t="inlineStr">
        <is>
          <t>SINAPI</t>
        </is>
      </c>
      <c r="D202" s="16" t="inlineStr">
        <is>
          <t>MESTRE DE OBRAS COM ENCARGOS COMPLEMENTARES</t>
        </is>
      </c>
      <c r="E202" s="17" t="inlineStr">
        <is>
          <t>MES</t>
        </is>
      </c>
      <c r="F202" s="18" t="n">
        <v>6.0</v>
      </c>
      <c r="G202" s="19" t="n">
        <v>5197.69</v>
      </c>
      <c r="H202" s="19" t="str">
        <f>TRUNC(G202 * (1 + 23.44 / 100), 2)</f>
      </c>
      <c r="I202" s="19" t="str">
        <f>TRUNC(F202 * h202, 2)</f>
      </c>
    </row>
    <row customHeight="1" ht="26" r="203">
      <c r="A203" s="16" t="inlineStr">
        <is>
          <t> 15.2 </t>
        </is>
      </c>
      <c r="B203" s="18" t="inlineStr">
        <is>
          <t> 90777 </t>
        </is>
      </c>
      <c r="C203" s="16" t="inlineStr">
        <is>
          <t>SINAPI</t>
        </is>
      </c>
      <c r="D203" s="16" t="inlineStr">
        <is>
          <t>ENGENHEIRO CIVIL DE OBRA JUNIOR COM ENCARGOS COMPLEMENTARES</t>
        </is>
      </c>
      <c r="E203" s="17" t="inlineStr">
        <is>
          <t>H</t>
        </is>
      </c>
      <c r="F203" s="18" t="n">
        <v>48.0</v>
      </c>
      <c r="G203" s="19" t="n">
        <v>97.18</v>
      </c>
      <c r="H203" s="19" t="str">
        <f>TRUNC(G203 * (1 + 23.44 / 100), 2)</f>
      </c>
      <c r="I203" s="19" t="str">
        <f>TRUNC(F203 * h203, 2)</f>
      </c>
    </row>
    <row customHeight="1" ht="24" r="204">
      <c r="A204" s="8" t="inlineStr">
        <is>
          <t> 16 </t>
        </is>
      </c>
      <c r="B204" s="8"/>
      <c r="C204" s="8"/>
      <c r="D204" s="8" t="inlineStr">
        <is>
          <t>SERVIÇOS COMPLEMENTARES</t>
        </is>
      </c>
      <c r="E204" s="8"/>
      <c r="F204" s="10"/>
      <c r="G204" s="8"/>
      <c r="H204" s="8"/>
      <c r="I204" s="11" t="n">
        <v>19041.27</v>
      </c>
    </row>
    <row customHeight="1" ht="24" r="205">
      <c r="A205" s="16" t="inlineStr">
        <is>
          <t> 16.1 </t>
        </is>
      </c>
      <c r="B205" s="18" t="inlineStr">
        <is>
          <t> CIVIL.SEDI.20 </t>
        </is>
      </c>
      <c r="C205" s="16" t="inlineStr">
        <is>
          <t>Próprio</t>
        </is>
      </c>
      <c r="D205" s="16" t="inlineStr">
        <is>
          <t>Limpeza geral (REF.: 2450/ORSE)</t>
        </is>
      </c>
      <c r="E205" s="17" t="inlineStr">
        <is>
          <t>m²</t>
        </is>
      </c>
      <c r="F205" s="18" t="n">
        <v>452.17</v>
      </c>
      <c r="G205" s="19" t="n">
        <v>2.27</v>
      </c>
      <c r="H205" s="19" t="str">
        <f>TRUNC(G205 * (1 + 23.44 / 100), 2)</f>
      </c>
      <c r="I205" s="19" t="str">
        <f>TRUNC(F205 * h205, 2)</f>
      </c>
    </row>
    <row customHeight="1" ht="24" r="206">
      <c r="A206" s="16" t="inlineStr">
        <is>
          <t> 16.2 </t>
        </is>
      </c>
      <c r="B206" s="18" t="inlineStr">
        <is>
          <t> 210500 </t>
        </is>
      </c>
      <c r="C206" s="16" t="inlineStr">
        <is>
          <t>SBC</t>
        </is>
      </c>
      <c r="D206" s="16" t="inlineStr">
        <is>
          <t>ALUGUEL DE CACAMBA 48 HORAS COM RETIRADA</t>
        </is>
      </c>
      <c r="E206" s="17" t="inlineStr">
        <is>
          <t>UN</t>
        </is>
      </c>
      <c r="F206" s="18" t="n">
        <v>40.0</v>
      </c>
      <c r="G206" s="19" t="n">
        <v>360.0</v>
      </c>
      <c r="H206" s="19" t="str">
        <f>TRUNC(G206 * (1 + 23.44 / 100), 2)</f>
      </c>
      <c r="I206" s="19" t="str">
        <f>TRUNC(F206 * h206, 2)</f>
      </c>
    </row>
    <row r="207">
      <c r="A207" s="65"/>
      <c r="B207" s="65"/>
      <c r="C207" s="65"/>
      <c r="D207" s="65"/>
      <c r="E207" s="65"/>
      <c r="F207" s="65"/>
      <c r="G207" s="65"/>
      <c r="H207" s="65"/>
      <c r="I207" s="65"/>
    </row>
    <row r="208">
      <c r="A208" s="57"/>
      <c r="B208" s="57"/>
      <c r="C208" s="57"/>
      <c r="D208" s="64"/>
      <c r="E208" s="55" t="inlineStr">
        <is>
          <t>Total sem BDI</t>
        </is>
      </c>
      <c r="F208" s="57"/>
      <c r="G208" s="58" t="n">
        <v>600320.8</v>
      </c>
      <c r="H208" s="57"/>
      <c r="I208" s="57"/>
    </row>
    <row r="209">
      <c r="A209" s="57"/>
      <c r="B209" s="57"/>
      <c r="C209" s="57"/>
      <c r="D209" s="64"/>
      <c r="E209" s="55" t="inlineStr">
        <is>
          <t>Total do BDI</t>
        </is>
      </c>
      <c r="F209" s="57"/>
      <c r="G209" s="58" t="n">
        <v>140641.93</v>
      </c>
      <c r="H209" s="57"/>
      <c r="I209" s="57"/>
    </row>
    <row r="210">
      <c r="A210" s="57"/>
      <c r="B210" s="57"/>
      <c r="C210" s="57"/>
      <c r="D210" s="64"/>
      <c r="E210" s="55" t="inlineStr">
        <is>
          <t>Total Geral</t>
        </is>
      </c>
      <c r="F210" s="57"/>
      <c r="G210" s="58" t="n">
        <v>740962.73</v>
      </c>
      <c r="H210" s="57"/>
      <c r="I210" s="57"/>
    </row>
    <row customHeight="1" ht="60" r="211">
      <c r="A211" s="56"/>
      <c r="B211" s="56"/>
      <c r="C211" s="56"/>
      <c r="D211" s="56"/>
      <c r="E211" s="56"/>
      <c r="F211" s="56"/>
      <c r="G211" s="56"/>
      <c r="H211" s="56"/>
      <c r="I211" s="56"/>
    </row>
    <row customHeight="1" ht="70" r="212">
      <c r="A212" s="65" t="inlineStr">
        <is>
          <t>_______________________________________________________________
</t>
        </is>
      </c>
    </row>
  </sheetData>
  <sheetCalcPr fullCalcOnLoad="1"/>
  <mergeCells count="17">
    <mergeCell ref="E1:f1"/>
    <mergeCell ref="g1:h1"/>
    <mergeCell ref="i1:i1"/>
    <mergeCell ref="E2:f2"/>
    <mergeCell ref="g2:h2"/>
    <mergeCell ref="i2:i2"/>
    <mergeCell ref="A3:i3"/>
    <mergeCell ref="A208:C208"/>
    <mergeCell ref="e208:f208"/>
    <mergeCell ref="g208:i208"/>
    <mergeCell ref="A209:C209"/>
    <mergeCell ref="e209:f209"/>
    <mergeCell ref="g209:i209"/>
    <mergeCell ref="A210:C210"/>
    <mergeCell ref="e210:f210"/>
    <mergeCell ref="g210:i210"/>
    <mergeCell ref="A212:i212"/>
  </mergeCells>
  <printOptions verticalCentered="0" horizontalCentered="0" headings="0" gridLines="0"/>
  <pageMargins right="0.5" left="0.5" bottom="1" top="1" footer="0.5" header="0.5"/>
  <pageSetup paperSize="9" fitToWidth="1" fitToHeight="0" orientation="landscape"/>
  <headerFooter differentFirst="0">
    <oddHeader>&amp;L &amp;C &amp;R</oddHeader>
    <oddFooter>&amp;L &amp;C &amp;R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2023-08-24T13:17:10Z</dcterms:created>
  <cp:revision>0</cp:revision>
</cp:coreProperties>
</file>